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0530\Desktop\EKI - 12222021\Süloğlu WPP\Final MR-ER\"/>
    </mc:Choice>
  </mc:AlternateContent>
  <xr:revisionPtr revIDLastSave="0" documentId="13_ncr:1_{C7C8D4B8-7B76-4332-9434-945127838664}" xr6:coauthVersionLast="47" xr6:coauthVersionMax="47" xr10:uidLastSave="{00000000-0000-0000-0000-000000000000}"/>
  <bookViews>
    <workbookView xWindow="-110" yWindow="-110" windowWidth="19420" windowHeight="10300" tabRatio="849" activeTab="2" xr2:uid="{00000000-000D-0000-FFFF-FFFF00000000}"/>
  </bookViews>
  <sheets>
    <sheet name="SDG13-Emission Reduction" sheetId="1" r:id="rId1"/>
    <sheet name="SDG 6-Wastewater" sheetId="2" r:id="rId2"/>
    <sheet name="SDG 7-Electricity Gen" sheetId="3" r:id="rId3"/>
    <sheet name="SDG 13- Air quality " sheetId="4" r:id="rId4"/>
    <sheet name="SDG 8 - Employment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C4" i="2"/>
  <c r="R9" i="3"/>
  <c r="J26" i="5"/>
  <c r="E2" i="5" s="1"/>
  <c r="E13" i="4" l="1"/>
  <c r="E14" i="4"/>
  <c r="E15" i="4"/>
  <c r="E12" i="4"/>
  <c r="E5" i="4"/>
  <c r="E6" i="4"/>
  <c r="E7" i="4"/>
  <c r="E4" i="4"/>
  <c r="J14" i="1"/>
  <c r="J15" i="1"/>
  <c r="J16" i="1"/>
  <c r="J17" i="1"/>
  <c r="I41" i="3"/>
  <c r="H41" i="3"/>
  <c r="F41" i="3"/>
  <c r="F42" i="3" s="1"/>
  <c r="E41" i="3"/>
  <c r="E42" i="3" s="1"/>
  <c r="K40" i="3"/>
  <c r="J40" i="3"/>
  <c r="G40" i="3"/>
  <c r="J39" i="3"/>
  <c r="K39" i="3" s="1"/>
  <c r="G39" i="3"/>
  <c r="J38" i="3"/>
  <c r="G38" i="3"/>
  <c r="K38" i="3" s="1"/>
  <c r="J37" i="3"/>
  <c r="G37" i="3"/>
  <c r="J36" i="3"/>
  <c r="G36" i="3"/>
  <c r="J35" i="3"/>
  <c r="G35" i="3"/>
  <c r="J34" i="3"/>
  <c r="G34" i="3"/>
  <c r="J33" i="3"/>
  <c r="G33" i="3"/>
  <c r="J32" i="3"/>
  <c r="G32" i="3"/>
  <c r="J31" i="3"/>
  <c r="G31" i="3"/>
  <c r="J30" i="3"/>
  <c r="G30" i="3"/>
  <c r="J29" i="3"/>
  <c r="G29" i="3"/>
  <c r="J28" i="3"/>
  <c r="G28" i="3"/>
  <c r="J27" i="3"/>
  <c r="G27" i="3"/>
  <c r="J26" i="3"/>
  <c r="G26" i="3"/>
  <c r="J25" i="3"/>
  <c r="G25" i="3"/>
  <c r="J24" i="3"/>
  <c r="G24" i="3"/>
  <c r="J23" i="3"/>
  <c r="G23" i="3"/>
  <c r="J22" i="3"/>
  <c r="G22" i="3"/>
  <c r="J21" i="3"/>
  <c r="G21" i="3"/>
  <c r="J20" i="3"/>
  <c r="G20" i="3"/>
  <c r="J19" i="3"/>
  <c r="G19" i="3"/>
  <c r="J18" i="3"/>
  <c r="G18" i="3"/>
  <c r="J17" i="3"/>
  <c r="G17" i="3"/>
  <c r="J16" i="3"/>
  <c r="G16" i="3"/>
  <c r="J15" i="3"/>
  <c r="G15" i="3"/>
  <c r="K15" i="3" s="1"/>
  <c r="J14" i="3"/>
  <c r="G14" i="3"/>
  <c r="J13" i="3"/>
  <c r="G13" i="3"/>
  <c r="J12" i="3"/>
  <c r="G12" i="3"/>
  <c r="J11" i="3"/>
  <c r="G11" i="3"/>
  <c r="J10" i="3"/>
  <c r="G10" i="3"/>
  <c r="J9" i="3"/>
  <c r="G9" i="3"/>
  <c r="J8" i="3"/>
  <c r="G8" i="3"/>
  <c r="J7" i="3"/>
  <c r="G7" i="3"/>
  <c r="J6" i="3"/>
  <c r="G6" i="3"/>
  <c r="C3" i="2"/>
  <c r="O49" i="1"/>
  <c r="P49" i="1"/>
  <c r="H49" i="1"/>
  <c r="I49" i="1"/>
  <c r="J46" i="1"/>
  <c r="J47" i="1"/>
  <c r="J48" i="1"/>
  <c r="K35" i="3" l="1"/>
  <c r="K9" i="3"/>
  <c r="K19" i="3"/>
  <c r="K29" i="3"/>
  <c r="K33" i="3"/>
  <c r="K37" i="3"/>
  <c r="J42" i="3"/>
  <c r="K13" i="3"/>
  <c r="K14" i="3"/>
  <c r="K23" i="3"/>
  <c r="K6" i="3"/>
  <c r="K8" i="3"/>
  <c r="K12" i="3"/>
  <c r="K18" i="3"/>
  <c r="K22" i="3"/>
  <c r="K26" i="3"/>
  <c r="K28" i="3"/>
  <c r="K32" i="3"/>
  <c r="K36" i="3"/>
  <c r="J41" i="3"/>
  <c r="G41" i="3"/>
  <c r="K7" i="3"/>
  <c r="K11" i="3"/>
  <c r="K17" i="3"/>
  <c r="K21" i="3"/>
  <c r="K25" i="3"/>
  <c r="K27" i="3"/>
  <c r="K31" i="3"/>
  <c r="K10" i="3"/>
  <c r="K16" i="3"/>
  <c r="K20" i="3"/>
  <c r="K24" i="3"/>
  <c r="K30" i="3"/>
  <c r="K34" i="3"/>
  <c r="J34" i="1"/>
  <c r="J35" i="1"/>
  <c r="J36" i="1"/>
  <c r="J37" i="1"/>
  <c r="J38" i="1"/>
  <c r="J39" i="1"/>
  <c r="J40" i="1"/>
  <c r="J41" i="1"/>
  <c r="J42" i="1"/>
  <c r="J43" i="1"/>
  <c r="J44" i="1"/>
  <c r="J45" i="1"/>
  <c r="K41" i="3" l="1"/>
  <c r="G2" i="3" s="1"/>
  <c r="G42" i="3"/>
  <c r="J22" i="1"/>
  <c r="J23" i="1"/>
  <c r="J24" i="1"/>
  <c r="J25" i="1"/>
  <c r="J26" i="1"/>
  <c r="J27" i="1"/>
  <c r="J28" i="1"/>
  <c r="J29" i="1"/>
  <c r="J30" i="1"/>
  <c r="J31" i="1"/>
  <c r="J32" i="1"/>
  <c r="J33" i="1"/>
  <c r="J18" i="1" l="1"/>
  <c r="J19" i="1"/>
  <c r="J20" i="1"/>
  <c r="J21" i="1"/>
  <c r="M15" i="1" l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14" i="1"/>
  <c r="J50" i="1" l="1"/>
  <c r="J49" i="1"/>
  <c r="G45" i="1" l="1"/>
  <c r="S45" i="1" s="1"/>
  <c r="K45" i="1" l="1"/>
  <c r="N45" i="1" s="1"/>
  <c r="Q45" i="1" s="1"/>
  <c r="E49" i="1" l="1"/>
  <c r="E50" i="1" s="1"/>
  <c r="F49" i="1"/>
  <c r="F50" i="1" s="1"/>
  <c r="G46" i="1" l="1"/>
  <c r="K46" i="1" s="1"/>
  <c r="G47" i="1"/>
  <c r="G48" i="1"/>
  <c r="S48" i="1" l="1"/>
  <c r="K48" i="1"/>
  <c r="N48" i="1" s="1"/>
  <c r="Q48" i="1" s="1"/>
  <c r="S47" i="1"/>
  <c r="K47" i="1"/>
  <c r="N47" i="1" s="1"/>
  <c r="Q47" i="1" s="1"/>
  <c r="N46" i="1"/>
  <c r="Q46" i="1" s="1"/>
  <c r="S46" i="1"/>
  <c r="G43" i="1"/>
  <c r="S43" i="1" s="1"/>
  <c r="G44" i="1"/>
  <c r="K44" i="1" s="1"/>
  <c r="N44" i="1" s="1"/>
  <c r="Q44" i="1" s="1"/>
  <c r="G42" i="1"/>
  <c r="S42" i="1" s="1"/>
  <c r="L46" i="1" l="1"/>
  <c r="R46" i="1"/>
  <c r="C13" i="2"/>
  <c r="D13" i="2" s="1"/>
  <c r="E13" i="2" s="1"/>
  <c r="K43" i="1"/>
  <c r="N43" i="1" s="1"/>
  <c r="Q43" i="1" s="1"/>
  <c r="S44" i="1"/>
  <c r="G4" i="1"/>
  <c r="G8" i="1" s="1"/>
  <c r="H8" i="1" s="1"/>
  <c r="G14" i="1"/>
  <c r="G15" i="1"/>
  <c r="K15" i="1" s="1"/>
  <c r="N15" i="1" s="1"/>
  <c r="Q15" i="1" s="1"/>
  <c r="G16" i="1"/>
  <c r="S16" i="1" s="1"/>
  <c r="G17" i="1"/>
  <c r="K17" i="1" s="1"/>
  <c r="N17" i="1" s="1"/>
  <c r="Q17" i="1" s="1"/>
  <c r="G18" i="1"/>
  <c r="K18" i="1" s="1"/>
  <c r="N18" i="1" s="1"/>
  <c r="Q18" i="1" s="1"/>
  <c r="G19" i="1"/>
  <c r="S19" i="1" s="1"/>
  <c r="G20" i="1"/>
  <c r="S20" i="1" s="1"/>
  <c r="G21" i="1"/>
  <c r="K21" i="1" s="1"/>
  <c r="N21" i="1" s="1"/>
  <c r="Q21" i="1" s="1"/>
  <c r="G22" i="1"/>
  <c r="K22" i="1" s="1"/>
  <c r="G23" i="1"/>
  <c r="K23" i="1" s="1"/>
  <c r="N23" i="1" s="1"/>
  <c r="Q23" i="1" s="1"/>
  <c r="G24" i="1"/>
  <c r="S24" i="1" s="1"/>
  <c r="G25" i="1"/>
  <c r="K25" i="1" s="1"/>
  <c r="N25" i="1" s="1"/>
  <c r="Q25" i="1" s="1"/>
  <c r="G26" i="1"/>
  <c r="S26" i="1" s="1"/>
  <c r="G27" i="1"/>
  <c r="K27" i="1" s="1"/>
  <c r="N27" i="1" s="1"/>
  <c r="Q27" i="1" s="1"/>
  <c r="G28" i="1"/>
  <c r="S28" i="1" s="1"/>
  <c r="G29" i="1"/>
  <c r="S29" i="1" s="1"/>
  <c r="G30" i="1"/>
  <c r="K30" i="1" s="1"/>
  <c r="N30" i="1" s="1"/>
  <c r="Q30" i="1" s="1"/>
  <c r="G31" i="1"/>
  <c r="S31" i="1" s="1"/>
  <c r="G32" i="1"/>
  <c r="S32" i="1" s="1"/>
  <c r="G33" i="1"/>
  <c r="S33" i="1" s="1"/>
  <c r="G34" i="1"/>
  <c r="G35" i="1"/>
  <c r="S35" i="1" s="1"/>
  <c r="G36" i="1"/>
  <c r="S36" i="1" s="1"/>
  <c r="G37" i="1"/>
  <c r="S37" i="1" s="1"/>
  <c r="G38" i="1"/>
  <c r="K38" i="1" s="1"/>
  <c r="N38" i="1" s="1"/>
  <c r="Q38" i="1" s="1"/>
  <c r="G39" i="1"/>
  <c r="K39" i="1" s="1"/>
  <c r="N39" i="1" s="1"/>
  <c r="Q39" i="1" s="1"/>
  <c r="G40" i="1"/>
  <c r="S40" i="1" s="1"/>
  <c r="G41" i="1"/>
  <c r="S41" i="1" s="1"/>
  <c r="K42" i="1"/>
  <c r="N42" i="1" s="1"/>
  <c r="Q42" i="1" s="1"/>
  <c r="K19" i="1" l="1"/>
  <c r="N19" i="1" s="1"/>
  <c r="Q19" i="1" s="1"/>
  <c r="K14" i="1"/>
  <c r="G49" i="1"/>
  <c r="S18" i="1"/>
  <c r="K33" i="1"/>
  <c r="N33" i="1" s="1"/>
  <c r="Q33" i="1" s="1"/>
  <c r="S34" i="1"/>
  <c r="S22" i="1"/>
  <c r="K31" i="1"/>
  <c r="N31" i="1" s="1"/>
  <c r="Q31" i="1" s="1"/>
  <c r="S23" i="1"/>
  <c r="K40" i="1"/>
  <c r="N40" i="1" s="1"/>
  <c r="Q40" i="1" s="1"/>
  <c r="S27" i="1"/>
  <c r="S39" i="1"/>
  <c r="K35" i="1"/>
  <c r="N35" i="1" s="1"/>
  <c r="Q35" i="1" s="1"/>
  <c r="K29" i="1"/>
  <c r="N29" i="1" s="1"/>
  <c r="Q29" i="1" s="1"/>
  <c r="K37" i="1"/>
  <c r="N37" i="1" s="1"/>
  <c r="Q37" i="1" s="1"/>
  <c r="N22" i="1"/>
  <c r="Q22" i="1" s="1"/>
  <c r="S21" i="1"/>
  <c r="K32" i="1"/>
  <c r="N32" i="1" s="1"/>
  <c r="Q32" i="1" s="1"/>
  <c r="K41" i="1"/>
  <c r="N41" i="1" s="1"/>
  <c r="Q41" i="1" s="1"/>
  <c r="K36" i="1"/>
  <c r="N36" i="1" s="1"/>
  <c r="Q36" i="1" s="1"/>
  <c r="K28" i="1"/>
  <c r="N28" i="1" s="1"/>
  <c r="Q28" i="1" s="1"/>
  <c r="S30" i="1"/>
  <c r="K34" i="1"/>
  <c r="K20" i="1"/>
  <c r="N20" i="1" s="1"/>
  <c r="Q20" i="1" s="1"/>
  <c r="S38" i="1"/>
  <c r="K26" i="1"/>
  <c r="N26" i="1" s="1"/>
  <c r="Q26" i="1" s="1"/>
  <c r="S25" i="1"/>
  <c r="K24" i="1"/>
  <c r="N24" i="1" s="1"/>
  <c r="Q24" i="1" s="1"/>
  <c r="S17" i="1"/>
  <c r="K16" i="1"/>
  <c r="N16" i="1" s="1"/>
  <c r="Q16" i="1" s="1"/>
  <c r="S15" i="1"/>
  <c r="S14" i="1"/>
  <c r="N34" i="1" l="1"/>
  <c r="Q34" i="1" s="1"/>
  <c r="R34" i="1" s="1"/>
  <c r="L34" i="1"/>
  <c r="N14" i="1"/>
  <c r="Q14" i="1" s="1"/>
  <c r="L14" i="1"/>
  <c r="R22" i="1"/>
  <c r="L22" i="1"/>
  <c r="S49" i="1"/>
  <c r="G50" i="1"/>
  <c r="S50" i="1" s="1"/>
  <c r="C10" i="2"/>
  <c r="C11" i="2"/>
  <c r="D11" i="2" s="1"/>
  <c r="E11" i="2" s="1"/>
  <c r="C12" i="2"/>
  <c r="D12" i="2" s="1"/>
  <c r="E12" i="2" s="1"/>
  <c r="K49" i="1"/>
  <c r="G6" i="1" s="1"/>
  <c r="L49" i="1" l="1"/>
  <c r="R14" i="1"/>
  <c r="R49" i="1" s="1"/>
  <c r="G9" i="1" s="1"/>
  <c r="Q49" i="1"/>
  <c r="D10" i="2"/>
  <c r="N50" i="1"/>
  <c r="C5" i="2"/>
  <c r="C7" i="2" s="1"/>
  <c r="N49" i="1"/>
  <c r="G10" i="1" l="1"/>
  <c r="R10" i="3"/>
  <c r="E10" i="2"/>
  <c r="E14" i="2" s="1"/>
  <c r="D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tc={C4844D0C-F16E-45FD-995C-0727575D511C}</author>
    <author>tc={675D80EC-6EE7-4A19-9376-E6A8F2A73B22}</author>
    <author>tc={12641862-6A7C-4E34-BB68-C7776D8FDB5B}</author>
    <author>tc={936CF22C-151C-474D-9ED2-762C9701AEC3}</author>
    <author>tc={F55BCFDE-5FB8-4D01-99E9-518D56BC63B5}</author>
    <author>tc={7C741097-D5C6-4248-9829-CC9EC42D6AA1}</author>
  </authors>
  <commentList>
    <comment ref="E4" authorId="0" shapeId="0" xr:uid="{C4844D0C-F16E-45FD-995C-0727575D511C}">
      <text>
        <t>[Threaded comment]
Your version of Excel allows you to read this threaded comment; however, any edits to it will get removed if the file is opened in a newer version of Excel. Learn more: https://go.microsoft.com/fwlink/?linkid=870924
Comment:
    Since company owner has been changed in 2021, social security isnurance of some of the employees were renewed.</t>
      </text>
    </comment>
    <comment ref="B14" authorId="1" shapeId="0" xr:uid="{675D80EC-6EE7-4A19-9376-E6A8F2A73B22}">
      <text>
        <t>[Threaded comment]
Your version of Excel allows you to read this threaded comment; however, any edits to it will get removed if the file is opened in a newer version of Excel. Learn more: https://go.microsoft.com/fwlink/?linkid=870924
Comment:
    Subcontracted company.</t>
      </text>
    </comment>
    <comment ref="B18" authorId="2" shapeId="0" xr:uid="{12641862-6A7C-4E34-BB68-C7776D8FDB5B}">
      <text>
        <t>[Threaded comment]
Your version of Excel allows you to read this threaded comment; however, any edits to it will get removed if the file is opened in a newer version of Excel. Learn more: https://go.microsoft.com/fwlink/?linkid=870924
Comment:
    Subcontracted company.</t>
      </text>
    </comment>
    <comment ref="B20" authorId="3" shapeId="0" xr:uid="{936CF22C-151C-474D-9ED2-762C9701AEC3}">
      <text>
        <t>[Threaded comment]
Your version of Excel allows you to read this threaded comment; however, any edits to it will get removed if the file is opened in a newer version of Excel. Learn more: https://go.microsoft.com/fwlink/?linkid=870924
Comment:
    Subcontracted company.</t>
      </text>
    </comment>
    <comment ref="B21" authorId="4" shapeId="0" xr:uid="{F55BCFDE-5FB8-4D01-99E9-518D56BC63B5}">
      <text>
        <t>[Threaded comment]
Your version of Excel allows you to read this threaded comment; however, any edits to it will get removed if the file is opened in a newer version of Excel. Learn more: https://go.microsoft.com/fwlink/?linkid=870924
Comment:
    Subcontracted company.</t>
      </text>
    </comment>
    <comment ref="B23" authorId="5" shapeId="0" xr:uid="{7C741097-D5C6-4248-9829-CC9EC42D6AA1}">
      <text>
        <t>[Threaded comment]
Your version of Excel allows you to read this threaded comment; however, any edits to it will get removed if the file is opened in a newer version of Excel. Learn more: https://go.microsoft.com/fwlink/?linkid=870924
Comment:
    Subcontracted company.</t>
      </text>
    </comment>
  </commentList>
</comments>
</file>

<file path=xl/sharedStrings.xml><?xml version="1.0" encoding="utf-8"?>
<sst xmlns="http://schemas.openxmlformats.org/spreadsheetml/2006/main" count="385" uniqueCount="169">
  <si>
    <t>Start Date of Monitoring Period</t>
  </si>
  <si>
    <t>End Date of Monitoring Period</t>
  </si>
  <si>
    <t>Number of Days for Current Monitoring Period</t>
  </si>
  <si>
    <t>Net Electricity Supplied to Grid during Monitoring Period (MWh)</t>
  </si>
  <si>
    <t>Actual ER for Current Monitoring Period (tCO2e)</t>
  </si>
  <si>
    <t>Change in Emission Reductions (%)</t>
  </si>
  <si>
    <t>Month</t>
  </si>
  <si>
    <t xml:space="preserve">From </t>
  </si>
  <si>
    <t>To</t>
  </si>
  <si>
    <t>Emission factor</t>
  </si>
  <si>
    <t>Baseline Emissions (tCO2e)</t>
  </si>
  <si>
    <t>Vintage Breakup</t>
  </si>
  <si>
    <t>Total</t>
  </si>
  <si>
    <t>01.08.2019</t>
  </si>
  <si>
    <t>01.09.2019</t>
  </si>
  <si>
    <t>01.08.2020</t>
  </si>
  <si>
    <t>01.09.2020</t>
  </si>
  <si>
    <t>01.05.2019</t>
  </si>
  <si>
    <t>01.05.2020</t>
  </si>
  <si>
    <t>01.06.2019</t>
  </si>
  <si>
    <t>01.04.2020</t>
  </si>
  <si>
    <t>01.10.2019</t>
  </si>
  <si>
    <t>01.11.2019</t>
  </si>
  <si>
    <t>01.12.2019</t>
  </si>
  <si>
    <t>01.01.2020</t>
  </si>
  <si>
    <t>01.02.2020</t>
  </si>
  <si>
    <t>01.03.2020</t>
  </si>
  <si>
    <t>01.06.2020</t>
  </si>
  <si>
    <t>01.07.2020</t>
  </si>
  <si>
    <t>01.10.2020</t>
  </si>
  <si>
    <t>01.11.2020</t>
  </si>
  <si>
    <t>01.12.2020</t>
  </si>
  <si>
    <t>01.02.2021</t>
  </si>
  <si>
    <t>01.03.2021</t>
  </si>
  <si>
    <t>01.01.2021</t>
  </si>
  <si>
    <t>31.05.2019</t>
  </si>
  <si>
    <t>30.06.2019</t>
  </si>
  <si>
    <t>31.07.2019</t>
  </si>
  <si>
    <t>31.08.2019</t>
  </si>
  <si>
    <t>30.09.2019</t>
  </si>
  <si>
    <t>31.10.2019</t>
  </si>
  <si>
    <t>30.11.2019</t>
  </si>
  <si>
    <t>31.12.2019</t>
  </si>
  <si>
    <t>31.01.2020</t>
  </si>
  <si>
    <t>30.02.2020</t>
  </si>
  <si>
    <t>31.03.2020</t>
  </si>
  <si>
    <t>30.04.2020</t>
  </si>
  <si>
    <t>31.05.2020</t>
  </si>
  <si>
    <t>30.06.2020</t>
  </si>
  <si>
    <t>31.07.2020</t>
  </si>
  <si>
    <t>31.08.2020</t>
  </si>
  <si>
    <t>30.09.2020</t>
  </si>
  <si>
    <t>31.10.2020</t>
  </si>
  <si>
    <t>30.11.2020</t>
  </si>
  <si>
    <t>31.12.2020</t>
  </si>
  <si>
    <t>31.01.2021</t>
  </si>
  <si>
    <t>01.04.2021</t>
  </si>
  <si>
    <t>01.05.2021</t>
  </si>
  <si>
    <t>01.06.2021</t>
  </si>
  <si>
    <t>01.07.2021</t>
  </si>
  <si>
    <t>01.08.2021</t>
  </si>
  <si>
    <t>31.07.2021</t>
  </si>
  <si>
    <t>31.08.2021</t>
  </si>
  <si>
    <t>30.02.2021</t>
  </si>
  <si>
    <t>31.03.2021</t>
  </si>
  <si>
    <t>30.04.2021</t>
  </si>
  <si>
    <t>31.05.2021</t>
  </si>
  <si>
    <t>30.06.2021</t>
  </si>
  <si>
    <t>Export(MWh) (Supply) (As EPİAŞ)</t>
  </si>
  <si>
    <t>Import (MWh) (Draw) (As EPİAŞ)</t>
  </si>
  <si>
    <t>Net Electricity(MWh) (As EPİAŞ)</t>
  </si>
  <si>
    <t>01.09.2021</t>
  </si>
  <si>
    <t>30.09.2021</t>
  </si>
  <si>
    <t>ER Estimation (PDD) for Current Monitoirng Period based on operational days</t>
  </si>
  <si>
    <t>Vintage Break-up (MWh)</t>
  </si>
  <si>
    <t>Wastewater Discharged For 1 GWh of Produced Electricity (m3/GWh)</t>
  </si>
  <si>
    <t>Calculated</t>
  </si>
  <si>
    <t>Estimated</t>
  </si>
  <si>
    <t>Total Electricity Generation In Turkey In 2020 - From Thermal Power Plants (GWh/year)</t>
  </si>
  <si>
    <t xml:space="preserve">Discharged Waste Water Amount In Turkey in 2020 - From Thermal Power Plants (m3/year) </t>
  </si>
  <si>
    <t>https://webapi.teias.gov.tr/file/8e92ef4c-48c6-410e-8852-dd4865cc816c?download</t>
  </si>
  <si>
    <t>https://data.tuik.gov.tr/Bulten/Index?p=Su-ve-Atiksu-Istatistikleri-2020-37197</t>
  </si>
  <si>
    <t xml:space="preserve">Average </t>
  </si>
  <si>
    <t>Electricity Generation of
Süloğlu WPP (GWh)</t>
  </si>
  <si>
    <t>Net electricity delivered to the grid (As per OSOS records)</t>
  </si>
  <si>
    <t>TEIAS V/S OSOS RECORD</t>
  </si>
  <si>
    <t>-</t>
  </si>
  <si>
    <t>Export(MWh) (Supply)(As per OSOS records)</t>
  </si>
  <si>
    <t>Import (MWh) (Draw) (As per OSOS records)</t>
  </si>
  <si>
    <t>Project Emissions
(tCO2)</t>
  </si>
  <si>
    <t>Leakage Emissions
(tCO2)</t>
  </si>
  <si>
    <t xml:space="preserve"> Emission Reductions
(tCO2)</t>
  </si>
  <si>
    <t>Estimated amount of annual average GHG emission reductions</t>
  </si>
  <si>
    <t>Avoidance of Wastewater for Süloğlu WPP (m3)</t>
  </si>
  <si>
    <t>Avoidance of Wastewater for Süloğlu WPP (million m3)</t>
  </si>
  <si>
    <t>Minimum of Net electricity supplied by the project activity to grid as per EPİAŞ (MWh) and OSOS Records</t>
  </si>
  <si>
    <t xml:space="preserve">Electricity Generation (GWh) </t>
  </si>
  <si>
    <t xml:space="preserve">01/05/2019-31/12/2019 </t>
  </si>
  <si>
    <t xml:space="preserve">01/01/2020-31/12/2016 </t>
  </si>
  <si>
    <t>01/01/2020-30/04/2021</t>
  </si>
  <si>
    <t>01/01/2022-31/03/2022</t>
  </si>
  <si>
    <t>Avoided Wastewater Discharge (m3)</t>
  </si>
  <si>
    <t>Avoided Wastewater Discharge (million m3)</t>
  </si>
  <si>
    <r>
      <t>Grid Emission Factor (tCO</t>
    </r>
    <r>
      <rPr>
        <vertAlign val="subscript"/>
        <sz val="10"/>
        <rFont val="Verdana"/>
        <family val="2"/>
      </rPr>
      <t>2</t>
    </r>
    <r>
      <rPr>
        <sz val="10"/>
        <rFont val="Verdana"/>
        <family val="2"/>
      </rPr>
      <t>e/MWh)</t>
    </r>
  </si>
  <si>
    <t>Minimum ff Net electricity supplied by the project activity to grid as per EPİAŞ (MWh) and OSOS Records</t>
  </si>
  <si>
    <t xml:space="preserve">Period </t>
  </si>
  <si>
    <t>Emission Factor (tons/GWh)</t>
  </si>
  <si>
    <t>Emission (tons)</t>
  </si>
  <si>
    <t>NMVOC</t>
  </si>
  <si>
    <t>CO</t>
  </si>
  <si>
    <t>Average Yearly Job Creation within monitoring period</t>
  </si>
  <si>
    <t>Sr No</t>
  </si>
  <si>
    <t>Employer</t>
  </si>
  <si>
    <t>Name of the Employee</t>
  </si>
  <si>
    <t>Profession Name</t>
  </si>
  <si>
    <t>Source of Information</t>
  </si>
  <si>
    <t>Technician</t>
  </si>
  <si>
    <t>Does this employee actively work for the year?</t>
  </si>
  <si>
    <t>Total Number of Employees Per Year</t>
  </si>
  <si>
    <t>Average Number of Employees For the Monitoring Period</t>
  </si>
  <si>
    <t>Steag Rüzgar Süloğlu Enerji Üretim ve Ticaret Anonim Şirketi</t>
  </si>
  <si>
    <t>Burak Yılmaz</t>
  </si>
  <si>
    <t>Cem Çalışkan</t>
  </si>
  <si>
    <t>Gazi Erdem</t>
  </si>
  <si>
    <t>Hakan Akartepe</t>
  </si>
  <si>
    <t>Hakan Ekinci</t>
  </si>
  <si>
    <t>İhsan Şahin</t>
  </si>
  <si>
    <t>Plant Manager</t>
  </si>
  <si>
    <t>Mehmet Demil</t>
  </si>
  <si>
    <t>Shift Manager</t>
  </si>
  <si>
    <t>Onur Cintosun</t>
  </si>
  <si>
    <t>Employment Start Date at Süloğlu Enerji (According to social security insurance records)</t>
  </si>
  <si>
    <t>Social service / employee lists and social security insurance records.</t>
  </si>
  <si>
    <t>Devrim Tuna</t>
  </si>
  <si>
    <t>Was working at the project site in (According to social service / employee lists):</t>
  </si>
  <si>
    <t>+</t>
  </si>
  <si>
    <t>Mechanical Engineer</t>
  </si>
  <si>
    <t>Security Guard</t>
  </si>
  <si>
    <t>MY Koruma ve Güvenlik Ltd. Şti.</t>
  </si>
  <si>
    <t>Soykan Vardağ</t>
  </si>
  <si>
    <t>Volkan Kaser</t>
  </si>
  <si>
    <t>Sebahat Özdemir</t>
  </si>
  <si>
    <t>MY Tesis Yönetimi ve Danışmanlık A.Ş.</t>
  </si>
  <si>
    <t xml:space="preserve">Gökhan Arslan </t>
  </si>
  <si>
    <t>Kadriye Utkuluer</t>
  </si>
  <si>
    <t>Cleaning Services</t>
  </si>
  <si>
    <t>Mehmet Çapan</t>
  </si>
  <si>
    <t>Transportation</t>
  </si>
  <si>
    <t>Ecrin Araç Kiralama Taşımacılık San. Tic. Ltd. Şti.</t>
  </si>
  <si>
    <t>SS.108 Nolu Edirne İtimat Min. Mid. Ve Otobüs Mot. Taş. Koop.</t>
  </si>
  <si>
    <t>Ömer İriş</t>
  </si>
  <si>
    <t>Serhat Bozkurt</t>
  </si>
  <si>
    <t>Application Officer</t>
  </si>
  <si>
    <t>Şadi Elemenli</t>
  </si>
  <si>
    <t>Accounting Assistant Manager</t>
  </si>
  <si>
    <t>Nedim Çelik</t>
  </si>
  <si>
    <t>Hamit Aylak</t>
  </si>
  <si>
    <t>Vestas Rüzgar Enerjisi Sistemleri San. Tic. Ltd. Şti.</t>
  </si>
  <si>
    <t>Social security insurance records.</t>
  </si>
  <si>
    <t>Social service / employee lists.</t>
  </si>
  <si>
    <t xml:space="preserve">The estimated electricity generation as per Transition Annex </t>
  </si>
  <si>
    <t>MWh/year</t>
  </si>
  <si>
    <t xml:space="preserve">Amount saved due to avoidance of natural gas import </t>
  </si>
  <si>
    <t>EUR/year</t>
  </si>
  <si>
    <t>Amount saved due to electricity generation of 1 MWh</t>
  </si>
  <si>
    <t>EUR</t>
  </si>
  <si>
    <t>Amount saved due to electricity generation by project activity</t>
  </si>
  <si>
    <t xml:space="preserve">01/01/2020-31/12/2020 </t>
  </si>
  <si>
    <t>01/01/2021-31/12/2021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</si>
</sst>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 * #,##0.00_ ;_ * \-#,##0.00_ ;_ * &quot;-&quot;??_ ;_ @_ "/>
    <numFmt numFmtId="166" formatCode="_(* #,##0_);_(* \(#,##0\);_(* &quot;-&quot;??_);_(@_)"/>
    <numFmt numFmtId="167" formatCode="#,##0.000"/>
    <numFmt numFmtId="168" formatCode="0.000"/>
    <numFmt numFmtId="169" formatCode="dd/mm/yyyy;@"/>
    <numFmt numFmtId="170" formatCode="_(* #,##0.0000_);_(* \(#,##0.0000\);_(* &quot;-&quot;??_);_(@_)"/>
    <numFmt numFmtId="171" formatCode="0.0"/>
    <numFmt numFmtId="172" formatCode="_-* #,##0.000_-;\-* #,##0.000_-;_-* &quot;-&quot;??_-;_-@_-"/>
    <numFmt numFmtId="173" formatCode="_(* #,##0.000_);_(* \(#,##0.000\);_(* &quot;-&quot;??_);_(@_)"/>
    <numFmt numFmtId="174" formatCode="[$-409]m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  <charset val="162"/>
    </font>
    <font>
      <sz val="10"/>
      <color rgb="FF00000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vertAlign val="subscript"/>
      <sz val="10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>
      <protection locked="0"/>
    </xf>
    <xf numFmtId="9" fontId="2" fillId="0" borderId="0">
      <alignment vertical="top"/>
      <protection locked="0"/>
    </xf>
    <xf numFmtId="0" fontId="4" fillId="0" borderId="0" applyNumberFormat="0" applyFill="0" applyBorder="0" applyAlignment="0" applyProtection="0"/>
    <xf numFmtId="0" fontId="5" fillId="0" borderId="0"/>
    <xf numFmtId="0" fontId="1" fillId="0" borderId="0"/>
  </cellStyleXfs>
  <cellXfs count="154">
    <xf numFmtId="0" fontId="0" fillId="0" borderId="0" xfId="0"/>
    <xf numFmtId="0" fontId="8" fillId="2" borderId="0" xfId="0" applyFont="1" applyFill="1" applyAlignment="1">
      <alignment horizontal="left"/>
    </xf>
    <xf numFmtId="0" fontId="7" fillId="2" borderId="10" xfId="5" applyFont="1" applyFill="1" applyBorder="1" applyAlignment="1">
      <alignment horizontal="left" vertical="center" wrapText="1"/>
    </xf>
    <xf numFmtId="4" fontId="7" fillId="2" borderId="10" xfId="5" applyNumberFormat="1" applyFont="1" applyFill="1" applyBorder="1" applyAlignment="1">
      <alignment horizontal="left" vertical="center"/>
    </xf>
    <xf numFmtId="3" fontId="7" fillId="2" borderId="10" xfId="5" applyNumberFormat="1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left" vertical="center"/>
    </xf>
    <xf numFmtId="2" fontId="8" fillId="2" borderId="10" xfId="0" applyNumberFormat="1" applyFont="1" applyFill="1" applyBorder="1" applyAlignment="1">
      <alignment horizontal="left"/>
    </xf>
    <xf numFmtId="0" fontId="7" fillId="2" borderId="11" xfId="5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164" fontId="8" fillId="2" borderId="10" xfId="1" applyFont="1" applyFill="1" applyBorder="1" applyAlignment="1">
      <alignment horizontal="left"/>
    </xf>
    <xf numFmtId="165" fontId="8" fillId="2" borderId="10" xfId="0" applyNumberFormat="1" applyFont="1" applyFill="1" applyBorder="1" applyAlignment="1">
      <alignment horizontal="left"/>
    </xf>
    <xf numFmtId="0" fontId="8" fillId="2" borderId="10" xfId="0" applyFont="1" applyFill="1" applyBorder="1" applyAlignment="1">
      <alignment horizontal="left" vertical="top" wrapText="1"/>
    </xf>
    <xf numFmtId="0" fontId="7" fillId="2" borderId="10" xfId="5" applyFont="1" applyFill="1" applyBorder="1" applyAlignment="1">
      <alignment horizontal="left" vertical="top" wrapText="1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0" fontId="10" fillId="2" borderId="0" xfId="0" applyFont="1" applyFill="1"/>
    <xf numFmtId="0" fontId="7" fillId="2" borderId="1" xfId="2" applyFont="1" applyFill="1" applyBorder="1" applyProtection="1"/>
    <xf numFmtId="0" fontId="7" fillId="2" borderId="2" xfId="2" applyFont="1" applyFill="1" applyBorder="1" applyProtection="1"/>
    <xf numFmtId="14" fontId="7" fillId="2" borderId="3" xfId="2" applyNumberFormat="1" applyFont="1" applyFill="1" applyBorder="1" applyAlignment="1" applyProtection="1">
      <alignment horizontal="right"/>
    </xf>
    <xf numFmtId="14" fontId="7" fillId="2" borderId="0" xfId="2" applyNumberFormat="1" applyFont="1" applyFill="1" applyAlignment="1" applyProtection="1">
      <alignment horizontal="right"/>
    </xf>
    <xf numFmtId="0" fontId="7" fillId="2" borderId="0" xfId="2" applyFont="1" applyFill="1" applyProtection="1"/>
    <xf numFmtId="0" fontId="7" fillId="2" borderId="4" xfId="2" applyFont="1" applyFill="1" applyBorder="1" applyProtection="1"/>
    <xf numFmtId="14" fontId="7" fillId="2" borderId="5" xfId="2" applyNumberFormat="1" applyFont="1" applyFill="1" applyBorder="1" applyAlignment="1" applyProtection="1">
      <alignment horizontal="right"/>
    </xf>
    <xf numFmtId="0" fontId="7" fillId="2" borderId="5" xfId="2" applyFont="1" applyFill="1" applyBorder="1" applyAlignment="1" applyProtection="1">
      <alignment horizontal="right"/>
    </xf>
    <xf numFmtId="0" fontId="7" fillId="2" borderId="0" xfId="2" applyFont="1" applyFill="1" applyAlignment="1" applyProtection="1">
      <alignment horizontal="right"/>
    </xf>
    <xf numFmtId="173" fontId="7" fillId="2" borderId="5" xfId="1" applyNumberFormat="1" applyFont="1" applyFill="1" applyBorder="1" applyAlignment="1" applyProtection="1">
      <alignment horizontal="right"/>
    </xf>
    <xf numFmtId="43" fontId="7" fillId="2" borderId="0" xfId="1" applyNumberFormat="1" applyFont="1" applyFill="1" applyBorder="1" applyAlignment="1" applyProtection="1">
      <alignment horizontal="right"/>
    </xf>
    <xf numFmtId="170" fontId="7" fillId="2" borderId="5" xfId="1" applyNumberFormat="1" applyFont="1" applyFill="1" applyBorder="1" applyAlignment="1" applyProtection="1">
      <alignment horizontal="right"/>
    </xf>
    <xf numFmtId="170" fontId="7" fillId="2" borderId="0" xfId="1" applyNumberFormat="1" applyFont="1" applyFill="1" applyBorder="1" applyAlignment="1" applyProtection="1">
      <alignment horizontal="right"/>
    </xf>
    <xf numFmtId="43" fontId="7" fillId="2" borderId="5" xfId="1" applyNumberFormat="1" applyFont="1" applyFill="1" applyBorder="1" applyAlignment="1" applyProtection="1">
      <alignment horizontal="right"/>
    </xf>
    <xf numFmtId="166" fontId="7" fillId="2" borderId="5" xfId="1" applyNumberFormat="1" applyFont="1" applyFill="1" applyBorder="1" applyAlignment="1" applyProtection="1">
      <alignment horizontal="right"/>
    </xf>
    <xf numFmtId="166" fontId="7" fillId="2" borderId="0" xfId="1" applyNumberFormat="1" applyFont="1" applyFill="1" applyBorder="1" applyAlignment="1" applyProtection="1">
      <alignment horizontal="right"/>
    </xf>
    <xf numFmtId="0" fontId="7" fillId="2" borderId="7" xfId="2" applyFont="1" applyFill="1" applyBorder="1" applyProtection="1"/>
    <xf numFmtId="0" fontId="7" fillId="2" borderId="8" xfId="2" applyFont="1" applyFill="1" applyBorder="1" applyProtection="1"/>
    <xf numFmtId="10" fontId="6" fillId="2" borderId="9" xfId="3" applyNumberFormat="1" applyFont="1" applyFill="1" applyBorder="1" applyAlignment="1" applyProtection="1">
      <alignment horizontal="right"/>
    </xf>
    <xf numFmtId="10" fontId="6" fillId="2" borderId="0" xfId="3" applyNumberFormat="1" applyFont="1" applyFill="1" applyAlignment="1" applyProtection="1">
      <alignment horizontal="right"/>
    </xf>
    <xf numFmtId="14" fontId="6" fillId="2" borderId="0" xfId="0" applyNumberFormat="1" applyFont="1" applyFill="1"/>
    <xf numFmtId="14" fontId="10" fillId="2" borderId="1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169" fontId="6" fillId="2" borderId="15" xfId="0" applyNumberFormat="1" applyFont="1" applyFill="1" applyBorder="1" applyAlignment="1">
      <alignment horizontal="center"/>
    </xf>
    <xf numFmtId="14" fontId="6" fillId="2" borderId="16" xfId="0" applyNumberFormat="1" applyFont="1" applyFill="1" applyBorder="1" applyAlignment="1">
      <alignment horizontal="center"/>
    </xf>
    <xf numFmtId="167" fontId="6" fillId="2" borderId="16" xfId="0" applyNumberFormat="1" applyFont="1" applyFill="1" applyBorder="1" applyAlignment="1">
      <alignment horizontal="right"/>
    </xf>
    <xf numFmtId="172" fontId="6" fillId="2" borderId="16" xfId="1" applyNumberFormat="1" applyFont="1" applyFill="1" applyBorder="1" applyAlignment="1">
      <alignment horizontal="right"/>
    </xf>
    <xf numFmtId="170" fontId="8" fillId="2" borderId="16" xfId="0" applyNumberFormat="1" applyFont="1" applyFill="1" applyBorder="1"/>
    <xf numFmtId="168" fontId="6" fillId="2" borderId="16" xfId="0" applyNumberFormat="1" applyFont="1" applyFill="1" applyBorder="1" applyAlignment="1">
      <alignment horizontal="center"/>
    </xf>
    <xf numFmtId="1" fontId="6" fillId="2" borderId="17" xfId="0" applyNumberFormat="1" applyFont="1" applyFill="1" applyBorder="1" applyAlignment="1">
      <alignment horizontal="center"/>
    </xf>
    <xf numFmtId="169" fontId="6" fillId="2" borderId="18" xfId="0" applyNumberFormat="1" applyFont="1" applyFill="1" applyBorder="1" applyAlignment="1">
      <alignment horizontal="center"/>
    </xf>
    <xf numFmtId="14" fontId="6" fillId="2" borderId="10" xfId="0" applyNumberFormat="1" applyFont="1" applyFill="1" applyBorder="1" applyAlignment="1">
      <alignment horizontal="center"/>
    </xf>
    <xf numFmtId="167" fontId="6" fillId="2" borderId="10" xfId="0" applyNumberFormat="1" applyFont="1" applyFill="1" applyBorder="1" applyAlignment="1">
      <alignment horizontal="right"/>
    </xf>
    <xf numFmtId="172" fontId="6" fillId="2" borderId="10" xfId="1" applyNumberFormat="1" applyFont="1" applyFill="1" applyBorder="1" applyAlignment="1">
      <alignment horizontal="right"/>
    </xf>
    <xf numFmtId="170" fontId="8" fillId="2" borderId="10" xfId="0" applyNumberFormat="1" applyFont="1" applyFill="1" applyBorder="1"/>
    <xf numFmtId="168" fontId="6" fillId="2" borderId="10" xfId="0" applyNumberFormat="1" applyFont="1" applyFill="1" applyBorder="1" applyAlignment="1">
      <alignment horizontal="center"/>
    </xf>
    <xf numFmtId="1" fontId="6" fillId="2" borderId="13" xfId="0" applyNumberFormat="1" applyFont="1" applyFill="1" applyBorder="1" applyAlignment="1">
      <alignment horizontal="center"/>
    </xf>
    <xf numFmtId="167" fontId="6" fillId="2" borderId="10" xfId="0" applyNumberFormat="1" applyFont="1" applyFill="1" applyBorder="1"/>
    <xf numFmtId="169" fontId="6" fillId="2" borderId="19" xfId="0" applyNumberFormat="1" applyFont="1" applyFill="1" applyBorder="1" applyAlignment="1">
      <alignment horizontal="center"/>
    </xf>
    <xf numFmtId="14" fontId="6" fillId="2" borderId="20" xfId="0" applyNumberFormat="1" applyFont="1" applyFill="1" applyBorder="1" applyAlignment="1">
      <alignment horizontal="center"/>
    </xf>
    <xf numFmtId="167" fontId="6" fillId="2" borderId="20" xfId="0" applyNumberFormat="1" applyFont="1" applyFill="1" applyBorder="1"/>
    <xf numFmtId="167" fontId="6" fillId="2" borderId="20" xfId="0" applyNumberFormat="1" applyFont="1" applyFill="1" applyBorder="1" applyAlignment="1">
      <alignment horizontal="right"/>
    </xf>
    <xf numFmtId="172" fontId="6" fillId="2" borderId="20" xfId="1" applyNumberFormat="1" applyFont="1" applyFill="1" applyBorder="1" applyAlignment="1">
      <alignment horizontal="right"/>
    </xf>
    <xf numFmtId="170" fontId="8" fillId="2" borderId="20" xfId="0" applyNumberFormat="1" applyFont="1" applyFill="1" applyBorder="1"/>
    <xf numFmtId="168" fontId="6" fillId="2" borderId="20" xfId="0" applyNumberFormat="1" applyFont="1" applyFill="1" applyBorder="1" applyAlignment="1">
      <alignment horizontal="center"/>
    </xf>
    <xf numFmtId="1" fontId="6" fillId="2" borderId="22" xfId="0" applyNumberFormat="1" applyFont="1" applyFill="1" applyBorder="1" applyAlignment="1">
      <alignment horizontal="center"/>
    </xf>
    <xf numFmtId="167" fontId="6" fillId="2" borderId="16" xfId="0" applyNumberFormat="1" applyFont="1" applyFill="1" applyBorder="1"/>
    <xf numFmtId="167" fontId="8" fillId="2" borderId="0" xfId="0" applyNumberFormat="1" applyFont="1" applyFill="1" applyAlignment="1">
      <alignment vertical="center"/>
    </xf>
    <xf numFmtId="0" fontId="6" fillId="2" borderId="10" xfId="0" applyFont="1" applyFill="1" applyBorder="1"/>
    <xf numFmtId="2" fontId="6" fillId="2" borderId="10" xfId="0" applyNumberFormat="1" applyFont="1" applyFill="1" applyBorder="1" applyAlignment="1">
      <alignment horizontal="right"/>
    </xf>
    <xf numFmtId="0" fontId="6" fillId="2" borderId="20" xfId="0" applyFont="1" applyFill="1" applyBorder="1"/>
    <xf numFmtId="2" fontId="6" fillId="2" borderId="20" xfId="0" applyNumberFormat="1" applyFont="1" applyFill="1" applyBorder="1" applyAlignment="1">
      <alignment horizontal="right"/>
    </xf>
    <xf numFmtId="2" fontId="6" fillId="2" borderId="16" xfId="0" applyNumberFormat="1" applyFont="1" applyFill="1" applyBorder="1" applyAlignment="1">
      <alignment horizontal="right"/>
    </xf>
    <xf numFmtId="168" fontId="6" fillId="2" borderId="16" xfId="0" applyNumberFormat="1" applyFont="1" applyFill="1" applyBorder="1" applyAlignment="1">
      <alignment horizontal="right"/>
    </xf>
    <xf numFmtId="168" fontId="6" fillId="2" borderId="10" xfId="0" applyNumberFormat="1" applyFont="1" applyFill="1" applyBorder="1" applyAlignment="1">
      <alignment horizontal="right"/>
    </xf>
    <xf numFmtId="168" fontId="6" fillId="2" borderId="20" xfId="0" applyNumberFormat="1" applyFont="1" applyFill="1" applyBorder="1" applyAlignment="1">
      <alignment horizontal="right"/>
    </xf>
    <xf numFmtId="168" fontId="11" fillId="2" borderId="0" xfId="0" applyNumberFormat="1" applyFont="1" applyFill="1" applyAlignment="1">
      <alignment vertical="center"/>
    </xf>
    <xf numFmtId="168" fontId="12" fillId="2" borderId="12" xfId="0" applyNumberFormat="1" applyFont="1" applyFill="1" applyBorder="1" applyAlignment="1">
      <alignment horizontal="center" vertical="center"/>
    </xf>
    <xf numFmtId="168" fontId="11" fillId="2" borderId="12" xfId="0" applyNumberFormat="1" applyFont="1" applyFill="1" applyBorder="1" applyAlignment="1">
      <alignment vertical="center"/>
    </xf>
    <xf numFmtId="168" fontId="11" fillId="2" borderId="12" xfId="0" applyNumberFormat="1" applyFont="1" applyFill="1" applyBorder="1" applyAlignment="1">
      <alignment horizontal="center" vertical="center"/>
    </xf>
    <xf numFmtId="168" fontId="10" fillId="2" borderId="12" xfId="0" applyNumberFormat="1" applyFont="1" applyFill="1" applyBorder="1" applyAlignment="1">
      <alignment horizontal="center"/>
    </xf>
    <xf numFmtId="168" fontId="11" fillId="2" borderId="0" xfId="0" applyNumberFormat="1" applyFont="1" applyFill="1"/>
    <xf numFmtId="0" fontId="12" fillId="2" borderId="10" xfId="0" applyFont="1" applyFill="1" applyBorder="1" applyAlignment="1">
      <alignment horizontal="center" vertical="center"/>
    </xf>
    <xf numFmtId="14" fontId="12" fillId="2" borderId="10" xfId="0" applyNumberFormat="1" applyFont="1" applyFill="1" applyBorder="1" applyAlignment="1">
      <alignment horizontal="center" vertical="center"/>
    </xf>
    <xf numFmtId="171" fontId="11" fillId="2" borderId="10" xfId="0" applyNumberFormat="1" applyFont="1" applyFill="1" applyBorder="1" applyAlignment="1">
      <alignment vertical="center"/>
    </xf>
    <xf numFmtId="2" fontId="8" fillId="2" borderId="10" xfId="0" applyNumberFormat="1" applyFont="1" applyFill="1" applyBorder="1" applyAlignment="1">
      <alignment vertical="center"/>
    </xf>
    <xf numFmtId="0" fontId="8" fillId="2" borderId="10" xfId="0" applyFont="1" applyFill="1" applyBorder="1" applyAlignment="1">
      <alignment vertical="center"/>
    </xf>
    <xf numFmtId="168" fontId="8" fillId="2" borderId="10" xfId="0" applyNumberFormat="1" applyFont="1" applyFill="1" applyBorder="1" applyAlignment="1">
      <alignment vertical="center"/>
    </xf>
    <xf numFmtId="167" fontId="8" fillId="2" borderId="0" xfId="0" applyNumberFormat="1" applyFont="1" applyFill="1"/>
    <xf numFmtId="0" fontId="7" fillId="2" borderId="10" xfId="2" applyFont="1" applyFill="1" applyBorder="1" applyProtection="1"/>
    <xf numFmtId="173" fontId="7" fillId="2" borderId="10" xfId="1" applyNumberFormat="1" applyFont="1" applyFill="1" applyBorder="1" applyAlignment="1" applyProtection="1">
      <alignment horizontal="right"/>
    </xf>
    <xf numFmtId="14" fontId="10" fillId="2" borderId="11" xfId="0" applyNumberFormat="1" applyFont="1" applyFill="1" applyBorder="1" applyAlignment="1">
      <alignment horizontal="center" vertical="top"/>
    </xf>
    <xf numFmtId="0" fontId="10" fillId="2" borderId="11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top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7" fillId="2" borderId="10" xfId="5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vertical="top"/>
    </xf>
    <xf numFmtId="0" fontId="6" fillId="2" borderId="10" xfId="0" applyFont="1" applyFill="1" applyBorder="1" applyAlignment="1">
      <alignment vertical="top" wrapText="1"/>
    </xf>
    <xf numFmtId="2" fontId="8" fillId="2" borderId="10" xfId="0" applyNumberFormat="1" applyFont="1" applyFill="1" applyBorder="1" applyAlignment="1">
      <alignment horizontal="center" vertical="top"/>
    </xf>
    <xf numFmtId="0" fontId="7" fillId="2" borderId="0" xfId="5" applyFont="1" applyFill="1" applyAlignment="1">
      <alignment horizontal="center" vertical="top" wrapText="1"/>
    </xf>
    <xf numFmtId="2" fontId="8" fillId="2" borderId="0" xfId="0" applyNumberFormat="1" applyFont="1" applyFill="1" applyAlignment="1">
      <alignment horizontal="center" vertical="top"/>
    </xf>
    <xf numFmtId="0" fontId="7" fillId="2" borderId="0" xfId="5" applyFont="1" applyFill="1" applyAlignment="1">
      <alignment horizontal="left" vertical="top" wrapText="1"/>
    </xf>
    <xf numFmtId="2" fontId="8" fillId="2" borderId="10" xfId="0" applyNumberFormat="1" applyFont="1" applyFill="1" applyBorder="1" applyAlignment="1">
      <alignment vertical="top"/>
    </xf>
    <xf numFmtId="167" fontId="7" fillId="2" borderId="10" xfId="5" applyNumberFormat="1" applyFont="1" applyFill="1" applyBorder="1" applyAlignment="1">
      <alignment horizontal="left" vertical="center"/>
    </xf>
    <xf numFmtId="0" fontId="4" fillId="2" borderId="10" xfId="4" applyFill="1" applyBorder="1" applyAlignment="1" applyProtection="1">
      <alignment horizontal="left" vertical="center"/>
    </xf>
    <xf numFmtId="165" fontId="8" fillId="2" borderId="0" xfId="0" applyNumberFormat="1" applyFont="1" applyFill="1" applyAlignment="1">
      <alignment horizontal="left"/>
    </xf>
    <xf numFmtId="164" fontId="8" fillId="2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/>
    </xf>
    <xf numFmtId="17" fontId="0" fillId="0" borderId="0" xfId="0" applyNumberFormat="1"/>
    <xf numFmtId="0" fontId="13" fillId="0" borderId="10" xfId="0" applyFont="1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horizontal="center" vertical="center"/>
    </xf>
    <xf numFmtId="0" fontId="13" fillId="0" borderId="10" xfId="0" applyFont="1" applyBorder="1" applyAlignment="1">
      <alignment horizontal="center" wrapText="1"/>
    </xf>
    <xf numFmtId="0" fontId="13" fillId="0" borderId="10" xfId="0" applyFont="1" applyBorder="1" applyAlignment="1">
      <alignment wrapText="1"/>
    </xf>
    <xf numFmtId="49" fontId="0" fillId="0" borderId="10" xfId="0" applyNumberFormat="1" applyBorder="1" applyAlignment="1">
      <alignment horizontal="center" wrapText="1"/>
    </xf>
    <xf numFmtId="14" fontId="0" fillId="0" borderId="10" xfId="0" applyNumberFormat="1" applyBorder="1"/>
    <xf numFmtId="0" fontId="14" fillId="0" borderId="0" xfId="0" applyFont="1" applyAlignment="1">
      <alignment horizontal="left" vertical="top"/>
    </xf>
    <xf numFmtId="0" fontId="14" fillId="0" borderId="10" xfId="0" applyFont="1" applyBorder="1" applyAlignment="1">
      <alignment horizontal="left" vertical="top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74" fontId="0" fillId="0" borderId="10" xfId="0" applyNumberFormat="1" applyBorder="1"/>
    <xf numFmtId="49" fontId="0" fillId="0" borderId="10" xfId="0" applyNumberFormat="1" applyBorder="1" applyAlignment="1">
      <alignment horizontal="left" wrapText="1"/>
    </xf>
    <xf numFmtId="164" fontId="8" fillId="2" borderId="0" xfId="1" applyFont="1" applyFill="1"/>
    <xf numFmtId="165" fontId="8" fillId="2" borderId="0" xfId="0" applyNumberFormat="1" applyFont="1" applyFill="1"/>
    <xf numFmtId="0" fontId="7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14" fontId="6" fillId="0" borderId="10" xfId="0" applyNumberFormat="1" applyFont="1" applyBorder="1" applyAlignment="1">
      <alignment horizontal="center"/>
    </xf>
    <xf numFmtId="14" fontId="6" fillId="0" borderId="20" xfId="0" applyNumberFormat="1" applyFont="1" applyBorder="1" applyAlignment="1">
      <alignment horizontal="center"/>
    </xf>
    <xf numFmtId="168" fontId="8" fillId="2" borderId="14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2" fontId="6" fillId="2" borderId="14" xfId="0" applyNumberFormat="1" applyFont="1" applyFill="1" applyBorder="1" applyAlignment="1">
      <alignment horizontal="center" vertical="center"/>
    </xf>
    <xf numFmtId="2" fontId="6" fillId="2" borderId="6" xfId="0" applyNumberFormat="1" applyFont="1" applyFill="1" applyBorder="1" applyAlignment="1">
      <alignment horizontal="center" vertical="center"/>
    </xf>
    <xf numFmtId="2" fontId="6" fillId="2" borderId="21" xfId="0" applyNumberFormat="1" applyFont="1" applyFill="1" applyBorder="1" applyAlignment="1">
      <alignment horizontal="center" vertical="center"/>
    </xf>
    <xf numFmtId="1" fontId="6" fillId="2" borderId="16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6" fillId="2" borderId="20" xfId="0" applyNumberFormat="1" applyFont="1" applyFill="1" applyBorder="1" applyAlignment="1">
      <alignment horizontal="center" vertical="center"/>
    </xf>
    <xf numFmtId="2" fontId="6" fillId="2" borderId="16" xfId="0" applyNumberFormat="1" applyFont="1" applyFill="1" applyBorder="1" applyAlignment="1">
      <alignment horizontal="center" vertical="center"/>
    </xf>
    <xf numFmtId="2" fontId="6" fillId="2" borderId="10" xfId="0" applyNumberFormat="1" applyFont="1" applyFill="1" applyBorder="1" applyAlignment="1">
      <alignment horizontal="center" vertical="center"/>
    </xf>
    <xf numFmtId="2" fontId="6" fillId="2" borderId="20" xfId="0" applyNumberFormat="1" applyFont="1" applyFill="1" applyBorder="1" applyAlignment="1">
      <alignment horizontal="center" vertical="center"/>
    </xf>
    <xf numFmtId="168" fontId="6" fillId="2" borderId="14" xfId="0" applyNumberFormat="1" applyFont="1" applyFill="1" applyBorder="1" applyAlignment="1">
      <alignment horizontal="center" vertical="center"/>
    </xf>
    <xf numFmtId="168" fontId="6" fillId="2" borderId="6" xfId="0" applyNumberFormat="1" applyFont="1" applyFill="1" applyBorder="1" applyAlignment="1">
      <alignment horizontal="center" vertical="center"/>
    </xf>
    <xf numFmtId="168" fontId="6" fillId="2" borderId="2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14" fillId="0" borderId="10" xfId="0" applyFont="1" applyBorder="1" applyAlignment="1">
      <alignment horizontal="left" vertical="top"/>
    </xf>
    <xf numFmtId="0" fontId="0" fillId="0" borderId="10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</cellXfs>
  <cellStyles count="7">
    <cellStyle name="Comma" xfId="1" builtinId="3"/>
    <cellStyle name="Hyperlink" xfId="4" builtinId="8"/>
    <cellStyle name="Normal" xfId="0" builtinId="0"/>
    <cellStyle name="Normal 17" xfId="6" xr:uid="{AEA562FA-456B-43BD-9DBD-0F53E2931746}"/>
    <cellStyle name="Normal 2" xfId="5" xr:uid="{3BC697E5-79C8-47BF-973D-A340FF6C1915}"/>
    <cellStyle name="Normal 2 2" xfId="2" xr:uid="{00000000-0005-0000-0000-000001000000}"/>
    <cellStyle name="Percent 2" xfId="3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kin Bakıcı" id="{A7B8AB92-BC40-4A82-A466-BEA2023991DD}" userId="Ekin Bakıcı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" dT="2022-11-01T07:29:16.08" personId="{A7B8AB92-BC40-4A82-A466-BEA2023991DD}" id="{C4844D0C-F16E-45FD-995C-0727575D511C}">
    <text>Since company owner has been changed in 2021, social security isnurance of some of the employees were renewed.</text>
  </threadedComment>
  <threadedComment ref="B14" dT="2022-11-01T07:56:06.05" personId="{A7B8AB92-BC40-4A82-A466-BEA2023991DD}" id="{675D80EC-6EE7-4A19-9376-E6A8F2A73B22}">
    <text>Subcontracted company.</text>
  </threadedComment>
  <threadedComment ref="B18" dT="2022-11-01T07:56:10.71" personId="{A7B8AB92-BC40-4A82-A466-BEA2023991DD}" id="{12641862-6A7C-4E34-BB68-C7776D8FDB5B}">
    <text>Subcontracted company.</text>
  </threadedComment>
  <threadedComment ref="B20" dT="2022-11-01T08:02:54.26" personId="{A7B8AB92-BC40-4A82-A466-BEA2023991DD}" id="{936CF22C-151C-474D-9ED2-762C9701AEC3}">
    <text>Subcontracted company.</text>
  </threadedComment>
  <threadedComment ref="B21" dT="2022-11-01T09:03:15.47" personId="{A7B8AB92-BC40-4A82-A466-BEA2023991DD}" id="{F55BCFDE-5FB8-4D01-99E9-518D56BC63B5}">
    <text>Subcontracted company.</text>
  </threadedComment>
  <threadedComment ref="B23" dT="2022-11-01T09:03:21.41" personId="{A7B8AB92-BC40-4A82-A466-BEA2023991DD}" id="{7C741097-D5C6-4248-9829-CC9EC42D6AA1}">
    <text>Subcontracted company.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data.tuik.gov.tr/Bulten/Index?p=Su-ve-Atiksu-Istatistikleri-2020-37197" TargetMode="External"/><Relationship Id="rId1" Type="http://schemas.openxmlformats.org/officeDocument/2006/relationships/hyperlink" Target="https://webapi.teias.gov.tr/file/8e92ef4c-48c6-410e-8852-dd4865cc816c?download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1"/>
  <sheetViews>
    <sheetView view="pageBreakPreview" zoomScale="70" zoomScaleNormal="115" zoomScaleSheetLayoutView="70" workbookViewId="0">
      <selection activeCell="B14" sqref="B14:B48"/>
    </sheetView>
  </sheetViews>
  <sheetFormatPr defaultColWidth="8.81640625" defaultRowHeight="13.5" x14ac:dyDescent="0.3"/>
  <cols>
    <col min="1" max="1" width="3.36328125" style="14" customWidth="1"/>
    <col min="2" max="2" width="13.36328125" style="14" customWidth="1"/>
    <col min="3" max="3" width="12" style="14" customWidth="1"/>
    <col min="4" max="4" width="23.81640625" style="14" customWidth="1"/>
    <col min="5" max="5" width="19" style="14" customWidth="1"/>
    <col min="6" max="6" width="20.90625" style="14" customWidth="1"/>
    <col min="7" max="9" width="21.36328125" style="14" customWidth="1"/>
    <col min="10" max="10" width="21" style="14" customWidth="1"/>
    <col min="11" max="11" width="28.08984375" style="14" customWidth="1"/>
    <col min="12" max="12" width="16" style="14" bestFit="1" customWidth="1"/>
    <col min="13" max="13" width="19" style="14" customWidth="1"/>
    <col min="14" max="14" width="14.453125" style="14" customWidth="1"/>
    <col min="15" max="16" width="13.08984375" style="14" customWidth="1"/>
    <col min="17" max="17" width="14.36328125" style="14" customWidth="1"/>
    <col min="18" max="19" width="15" style="14" bestFit="1" customWidth="1"/>
    <col min="20" max="20" width="8.08984375" style="14" bestFit="1" customWidth="1"/>
    <col min="21" max="16384" width="8.81640625" style="14"/>
  </cols>
  <sheetData>
    <row r="1" spans="1:21" ht="14" thickBo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21" x14ac:dyDescent="0.3">
      <c r="A2" s="15"/>
      <c r="B2" s="16" t="s">
        <v>0</v>
      </c>
      <c r="C2" s="17"/>
      <c r="D2" s="17"/>
      <c r="E2" s="17"/>
      <c r="F2" s="17"/>
      <c r="G2" s="18">
        <v>43586</v>
      </c>
      <c r="H2" s="19"/>
      <c r="I2" s="19"/>
      <c r="J2" s="20"/>
      <c r="K2" s="20"/>
      <c r="L2" s="20"/>
      <c r="N2" s="13"/>
      <c r="O2" s="13"/>
      <c r="P2" s="13"/>
      <c r="Q2" s="13"/>
      <c r="R2" s="13"/>
      <c r="S2" s="13"/>
      <c r="T2" s="13"/>
      <c r="U2" s="13"/>
    </row>
    <row r="3" spans="1:21" x14ac:dyDescent="0.3">
      <c r="A3" s="15"/>
      <c r="B3" s="21" t="s">
        <v>1</v>
      </c>
      <c r="C3" s="20"/>
      <c r="D3" s="20"/>
      <c r="E3" s="20"/>
      <c r="F3" s="20"/>
      <c r="G3" s="22">
        <v>44651</v>
      </c>
      <c r="H3" s="19"/>
      <c r="I3" s="19"/>
      <c r="J3" s="20"/>
      <c r="K3" s="20"/>
      <c r="L3" s="20"/>
      <c r="N3" s="13"/>
      <c r="O3" s="13"/>
      <c r="P3" s="13"/>
      <c r="Q3" s="13"/>
      <c r="R3" s="13"/>
      <c r="S3" s="13"/>
      <c r="T3" s="13"/>
      <c r="U3" s="13"/>
    </row>
    <row r="4" spans="1:21" x14ac:dyDescent="0.3">
      <c r="A4" s="15"/>
      <c r="B4" s="21" t="s">
        <v>2</v>
      </c>
      <c r="C4" s="20"/>
      <c r="D4" s="20"/>
      <c r="E4" s="20"/>
      <c r="F4" s="20"/>
      <c r="G4" s="23">
        <f>G3-G2+1</f>
        <v>1066</v>
      </c>
      <c r="H4" s="24"/>
      <c r="I4" s="24"/>
      <c r="J4" s="20"/>
      <c r="K4" s="20"/>
      <c r="L4" s="20"/>
      <c r="N4" s="13"/>
      <c r="O4" s="13"/>
      <c r="P4" s="13"/>
      <c r="Q4" s="13"/>
      <c r="R4" s="13"/>
      <c r="S4" s="13"/>
      <c r="T4" s="13"/>
      <c r="U4" s="13"/>
    </row>
    <row r="5" spans="1:21" x14ac:dyDescent="0.3">
      <c r="A5" s="15"/>
      <c r="B5" s="21" t="s">
        <v>92</v>
      </c>
      <c r="C5" s="20"/>
      <c r="D5" s="20"/>
      <c r="E5" s="20"/>
      <c r="F5" s="20"/>
      <c r="G5" s="23">
        <v>116290</v>
      </c>
      <c r="H5" s="24"/>
      <c r="I5" s="24"/>
      <c r="J5" s="20"/>
      <c r="K5" s="20"/>
      <c r="L5" s="20"/>
      <c r="N5" s="13"/>
      <c r="O5" s="13"/>
      <c r="P5" s="13"/>
      <c r="Q5" s="13"/>
      <c r="R5" s="13"/>
      <c r="S5" s="13"/>
      <c r="T5" s="13"/>
      <c r="U5" s="13"/>
    </row>
    <row r="6" spans="1:21" x14ac:dyDescent="0.3">
      <c r="A6" s="15"/>
      <c r="B6" s="21" t="s">
        <v>3</v>
      </c>
      <c r="C6" s="20"/>
      <c r="D6" s="20"/>
      <c r="E6" s="20"/>
      <c r="F6" s="20"/>
      <c r="G6" s="25">
        <f>K49</f>
        <v>641767.39770000009</v>
      </c>
      <c r="H6" s="26"/>
      <c r="I6" s="26"/>
      <c r="J6" s="20"/>
      <c r="K6" s="20"/>
      <c r="L6" s="20"/>
      <c r="N6" s="13"/>
      <c r="O6" s="13"/>
      <c r="P6" s="13"/>
      <c r="Q6" s="13"/>
      <c r="R6" s="13"/>
      <c r="S6" s="13"/>
      <c r="T6" s="13"/>
      <c r="U6" s="13"/>
    </row>
    <row r="7" spans="1:21" ht="15.5" x14ac:dyDescent="0.4">
      <c r="A7" s="15"/>
      <c r="B7" s="21" t="s">
        <v>103</v>
      </c>
      <c r="C7" s="20"/>
      <c r="D7" s="20"/>
      <c r="E7" s="20"/>
      <c r="F7" s="20"/>
      <c r="G7" s="27">
        <v>0.56120000000000003</v>
      </c>
      <c r="H7" s="28"/>
      <c r="I7" s="28"/>
      <c r="J7" s="20"/>
      <c r="K7" s="20"/>
      <c r="L7" s="20"/>
      <c r="N7" s="13"/>
      <c r="O7" s="13"/>
      <c r="P7" s="13"/>
      <c r="Q7" s="13"/>
      <c r="R7" s="13"/>
      <c r="S7" s="13"/>
      <c r="T7" s="13"/>
      <c r="U7" s="13"/>
    </row>
    <row r="8" spans="1:21" x14ac:dyDescent="0.3">
      <c r="A8" s="15"/>
      <c r="B8" s="21" t="s">
        <v>73</v>
      </c>
      <c r="C8" s="20"/>
      <c r="D8" s="20"/>
      <c r="E8" s="20"/>
      <c r="F8" s="20"/>
      <c r="G8" s="29">
        <f>G5/365*G4</f>
        <v>339630.52054794517</v>
      </c>
      <c r="H8" s="26">
        <f>G8/G7</f>
        <v>605186.24473974551</v>
      </c>
      <c r="I8" s="26"/>
      <c r="J8" s="20"/>
      <c r="K8" s="20"/>
      <c r="L8" s="20"/>
      <c r="N8" s="13"/>
      <c r="O8" s="13"/>
      <c r="P8" s="13"/>
      <c r="Q8" s="13"/>
      <c r="R8" s="13"/>
      <c r="S8" s="13"/>
      <c r="T8" s="13"/>
      <c r="U8" s="13"/>
    </row>
    <row r="9" spans="1:21" x14ac:dyDescent="0.3">
      <c r="A9" s="15"/>
      <c r="B9" s="21" t="s">
        <v>4</v>
      </c>
      <c r="C9" s="20"/>
      <c r="D9" s="20"/>
      <c r="E9" s="20"/>
      <c r="F9" s="20"/>
      <c r="G9" s="30">
        <f>R49</f>
        <v>360143</v>
      </c>
      <c r="H9" s="31"/>
      <c r="I9" s="31"/>
      <c r="J9" s="20"/>
      <c r="K9" s="20"/>
      <c r="L9" s="20"/>
      <c r="N9" s="13"/>
      <c r="O9" s="13"/>
      <c r="P9" s="13"/>
      <c r="Q9" s="13"/>
      <c r="R9" s="13"/>
      <c r="S9" s="13"/>
      <c r="T9" s="13"/>
      <c r="U9" s="13"/>
    </row>
    <row r="10" spans="1:21" ht="14" thickBot="1" x14ac:dyDescent="0.35">
      <c r="A10" s="15"/>
      <c r="B10" s="32" t="s">
        <v>5</v>
      </c>
      <c r="C10" s="33"/>
      <c r="D10" s="33"/>
      <c r="E10" s="33"/>
      <c r="F10" s="33"/>
      <c r="G10" s="34">
        <f>(G9-G8)/G8</f>
        <v>6.0396455003398651E-2</v>
      </c>
      <c r="H10" s="35"/>
      <c r="I10" s="35"/>
      <c r="J10" s="20"/>
      <c r="K10" s="20"/>
      <c r="L10" s="20"/>
      <c r="N10" s="13"/>
      <c r="O10" s="13"/>
      <c r="P10" s="13"/>
      <c r="Q10" s="13"/>
      <c r="R10" s="13"/>
      <c r="S10" s="13"/>
      <c r="T10" s="13"/>
      <c r="U10" s="13"/>
    </row>
    <row r="11" spans="1:21" x14ac:dyDescent="0.3">
      <c r="A11" s="15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3"/>
      <c r="O11" s="13"/>
      <c r="P11" s="13"/>
      <c r="Q11" s="13"/>
      <c r="R11" s="13"/>
      <c r="S11" s="13"/>
      <c r="T11" s="13"/>
      <c r="U11" s="13"/>
    </row>
    <row r="12" spans="1:21" x14ac:dyDescent="0.3">
      <c r="A12" s="15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13"/>
      <c r="U12" s="13"/>
    </row>
    <row r="13" spans="1:21" ht="68" thickBot="1" x14ac:dyDescent="0.35">
      <c r="A13" s="36"/>
      <c r="B13" s="37" t="s">
        <v>6</v>
      </c>
      <c r="C13" s="37" t="s">
        <v>7</v>
      </c>
      <c r="D13" s="37" t="s">
        <v>8</v>
      </c>
      <c r="E13" s="38" t="s">
        <v>68</v>
      </c>
      <c r="F13" s="38" t="s">
        <v>69</v>
      </c>
      <c r="G13" s="38" t="s">
        <v>70</v>
      </c>
      <c r="H13" s="38" t="s">
        <v>87</v>
      </c>
      <c r="I13" s="38" t="s">
        <v>88</v>
      </c>
      <c r="J13" s="38" t="s">
        <v>84</v>
      </c>
      <c r="K13" s="38" t="s">
        <v>95</v>
      </c>
      <c r="L13" s="38" t="s">
        <v>74</v>
      </c>
      <c r="M13" s="39" t="s">
        <v>9</v>
      </c>
      <c r="N13" s="38" t="s">
        <v>10</v>
      </c>
      <c r="O13" s="38" t="s">
        <v>89</v>
      </c>
      <c r="P13" s="38" t="s">
        <v>90</v>
      </c>
      <c r="Q13" s="38" t="s">
        <v>91</v>
      </c>
      <c r="R13" s="38" t="s">
        <v>11</v>
      </c>
      <c r="S13" s="38" t="s">
        <v>85</v>
      </c>
      <c r="T13" s="40"/>
    </row>
    <row r="14" spans="1:21" x14ac:dyDescent="0.3">
      <c r="A14" s="13"/>
      <c r="B14" s="41">
        <v>43586</v>
      </c>
      <c r="C14" s="42" t="s">
        <v>17</v>
      </c>
      <c r="D14" s="42" t="s">
        <v>35</v>
      </c>
      <c r="E14" s="43">
        <v>14224.468000000001</v>
      </c>
      <c r="F14" s="43">
        <v>40.898000000000003</v>
      </c>
      <c r="G14" s="43">
        <f t="shared" ref="G14:G48" si="0">E14-F14</f>
        <v>14183.570000000002</v>
      </c>
      <c r="H14" s="43">
        <v>14224.450000000041</v>
      </c>
      <c r="I14" s="43">
        <v>40.88999999999993</v>
      </c>
      <c r="J14" s="44">
        <f t="shared" ref="J14:J48" si="1">H14-I14</f>
        <v>14183.560000000041</v>
      </c>
      <c r="K14" s="44">
        <f t="shared" ref="K14:K48" si="2">MIN(G14,J14)</f>
        <v>14183.560000000041</v>
      </c>
      <c r="L14" s="136">
        <f>SUM(K14:K21)</f>
        <v>129225.38570000004</v>
      </c>
      <c r="M14" s="45">
        <f>$G$7</f>
        <v>0.56120000000000003</v>
      </c>
      <c r="N14" s="46">
        <f>ROUNDDOWN(K14*M14,0)</f>
        <v>7959</v>
      </c>
      <c r="O14" s="46">
        <v>0</v>
      </c>
      <c r="P14" s="46">
        <v>0</v>
      </c>
      <c r="Q14" s="46">
        <f>N14-O14-P14</f>
        <v>7959</v>
      </c>
      <c r="R14" s="139">
        <f>ROUNDDOWN(SUM(Q14:Q21),0)</f>
        <v>72517</v>
      </c>
      <c r="S14" s="47">
        <f t="shared" ref="S14:S50" si="3">G14-J14</f>
        <v>9.9999999602005119E-3</v>
      </c>
      <c r="T14" s="13"/>
    </row>
    <row r="15" spans="1:21" x14ac:dyDescent="0.3">
      <c r="A15" s="13"/>
      <c r="B15" s="48">
        <v>43617</v>
      </c>
      <c r="C15" s="49" t="s">
        <v>19</v>
      </c>
      <c r="D15" s="49" t="s">
        <v>36</v>
      </c>
      <c r="E15" s="50">
        <v>17694.78</v>
      </c>
      <c r="F15" s="50">
        <v>27.039300000000001</v>
      </c>
      <c r="G15" s="50">
        <f t="shared" si="0"/>
        <v>17667.740699999998</v>
      </c>
      <c r="H15" s="50">
        <v>17694.789999999979</v>
      </c>
      <c r="I15" s="50">
        <v>27.04000000000002</v>
      </c>
      <c r="J15" s="51">
        <f t="shared" si="1"/>
        <v>17667.749999999978</v>
      </c>
      <c r="K15" s="51">
        <f t="shared" si="2"/>
        <v>17667.740699999998</v>
      </c>
      <c r="L15" s="137"/>
      <c r="M15" s="52">
        <f t="shared" ref="M15:M48" si="4">$G$7</f>
        <v>0.56120000000000003</v>
      </c>
      <c r="N15" s="53">
        <f t="shared" ref="N15:N48" si="5">ROUNDDOWN(K15*M15,0)</f>
        <v>9915</v>
      </c>
      <c r="O15" s="53">
        <v>0</v>
      </c>
      <c r="P15" s="53">
        <v>0</v>
      </c>
      <c r="Q15" s="53">
        <f t="shared" ref="Q15:Q21" si="6">N15-O15-P15</f>
        <v>9915</v>
      </c>
      <c r="R15" s="140"/>
      <c r="S15" s="54">
        <f t="shared" si="3"/>
        <v>-9.2999999797029886E-3</v>
      </c>
      <c r="T15" s="13"/>
    </row>
    <row r="16" spans="1:21" x14ac:dyDescent="0.3">
      <c r="A16" s="13"/>
      <c r="B16" s="48">
        <v>43647</v>
      </c>
      <c r="C16" s="49">
        <v>43647</v>
      </c>
      <c r="D16" s="49" t="s">
        <v>37</v>
      </c>
      <c r="E16" s="50">
        <v>8888.6239999999998</v>
      </c>
      <c r="F16" s="50">
        <v>74.319000000000003</v>
      </c>
      <c r="G16" s="50">
        <f t="shared" si="0"/>
        <v>8814.3050000000003</v>
      </c>
      <c r="H16" s="50">
        <v>8888.6299999999756</v>
      </c>
      <c r="I16" s="50">
        <v>74.310000000000059</v>
      </c>
      <c r="J16" s="51">
        <f t="shared" si="1"/>
        <v>8814.3199999999761</v>
      </c>
      <c r="K16" s="51">
        <f t="shared" si="2"/>
        <v>8814.3050000000003</v>
      </c>
      <c r="L16" s="137"/>
      <c r="M16" s="52">
        <f t="shared" si="4"/>
        <v>0.56120000000000003</v>
      </c>
      <c r="N16" s="53">
        <f t="shared" si="5"/>
        <v>4946</v>
      </c>
      <c r="O16" s="53">
        <v>0</v>
      </c>
      <c r="P16" s="53">
        <v>0</v>
      </c>
      <c r="Q16" s="53">
        <f t="shared" si="6"/>
        <v>4946</v>
      </c>
      <c r="R16" s="140"/>
      <c r="S16" s="54">
        <f t="shared" si="3"/>
        <v>-1.4999999975771061E-2</v>
      </c>
      <c r="T16" s="13"/>
    </row>
    <row r="17" spans="1:20" x14ac:dyDescent="0.3">
      <c r="A17" s="13"/>
      <c r="B17" s="48">
        <v>43678</v>
      </c>
      <c r="C17" s="49" t="s">
        <v>13</v>
      </c>
      <c r="D17" s="49" t="s">
        <v>38</v>
      </c>
      <c r="E17" s="55">
        <v>19158.218000000001</v>
      </c>
      <c r="F17" s="55">
        <v>33.957999999999998</v>
      </c>
      <c r="G17" s="50">
        <f t="shared" si="0"/>
        <v>19124.260000000002</v>
      </c>
      <c r="H17" s="50">
        <v>19158.20000000007</v>
      </c>
      <c r="I17" s="50">
        <v>33.960000000000036</v>
      </c>
      <c r="J17" s="51">
        <f t="shared" si="1"/>
        <v>19124.240000000071</v>
      </c>
      <c r="K17" s="51">
        <f t="shared" si="2"/>
        <v>19124.240000000071</v>
      </c>
      <c r="L17" s="137"/>
      <c r="M17" s="52">
        <f t="shared" si="4"/>
        <v>0.56120000000000003</v>
      </c>
      <c r="N17" s="53">
        <f t="shared" si="5"/>
        <v>10732</v>
      </c>
      <c r="O17" s="53">
        <v>0</v>
      </c>
      <c r="P17" s="53">
        <v>0</v>
      </c>
      <c r="Q17" s="53">
        <f t="shared" si="6"/>
        <v>10732</v>
      </c>
      <c r="R17" s="140"/>
      <c r="S17" s="54">
        <f t="shared" si="3"/>
        <v>1.999999993131496E-2</v>
      </c>
      <c r="T17" s="13"/>
    </row>
    <row r="18" spans="1:20" x14ac:dyDescent="0.3">
      <c r="A18" s="13"/>
      <c r="B18" s="48">
        <v>43709</v>
      </c>
      <c r="C18" s="49" t="s">
        <v>14</v>
      </c>
      <c r="D18" s="49" t="s">
        <v>39</v>
      </c>
      <c r="E18" s="55">
        <v>17894.777999999998</v>
      </c>
      <c r="F18" s="55">
        <v>33.167000000000002</v>
      </c>
      <c r="G18" s="50">
        <f t="shared" si="0"/>
        <v>17861.610999999997</v>
      </c>
      <c r="H18" s="50">
        <v>17894.78999999995</v>
      </c>
      <c r="I18" s="50">
        <v>33.17999999999995</v>
      </c>
      <c r="J18" s="51">
        <f t="shared" si="1"/>
        <v>17861.60999999995</v>
      </c>
      <c r="K18" s="51">
        <f t="shared" si="2"/>
        <v>17861.60999999995</v>
      </c>
      <c r="L18" s="137"/>
      <c r="M18" s="52">
        <f t="shared" si="4"/>
        <v>0.56120000000000003</v>
      </c>
      <c r="N18" s="53">
        <f t="shared" si="5"/>
        <v>10023</v>
      </c>
      <c r="O18" s="53">
        <v>0</v>
      </c>
      <c r="P18" s="53">
        <v>0</v>
      </c>
      <c r="Q18" s="53">
        <f t="shared" si="6"/>
        <v>10023</v>
      </c>
      <c r="R18" s="140"/>
      <c r="S18" s="54">
        <f t="shared" si="3"/>
        <v>1.0000000474974513E-3</v>
      </c>
      <c r="T18" s="13"/>
    </row>
    <row r="19" spans="1:20" x14ac:dyDescent="0.3">
      <c r="A19" s="13"/>
      <c r="B19" s="48">
        <v>43739</v>
      </c>
      <c r="C19" s="49" t="s">
        <v>21</v>
      </c>
      <c r="D19" s="49" t="s">
        <v>40</v>
      </c>
      <c r="E19" s="55">
        <v>8458.509</v>
      </c>
      <c r="F19" s="55">
        <v>111.896</v>
      </c>
      <c r="G19" s="50">
        <f t="shared" si="0"/>
        <v>8346.6129999999994</v>
      </c>
      <c r="H19" s="50">
        <v>8458.5</v>
      </c>
      <c r="I19" s="50">
        <v>111.88999999999999</v>
      </c>
      <c r="J19" s="51">
        <f t="shared" si="1"/>
        <v>8346.61</v>
      </c>
      <c r="K19" s="51">
        <f t="shared" si="2"/>
        <v>8346.61</v>
      </c>
      <c r="L19" s="137"/>
      <c r="M19" s="52">
        <f t="shared" si="4"/>
        <v>0.56120000000000003</v>
      </c>
      <c r="N19" s="53">
        <f t="shared" si="5"/>
        <v>4684</v>
      </c>
      <c r="O19" s="53">
        <v>0</v>
      </c>
      <c r="P19" s="53">
        <v>0</v>
      </c>
      <c r="Q19" s="53">
        <f t="shared" si="6"/>
        <v>4684</v>
      </c>
      <c r="R19" s="140"/>
      <c r="S19" s="54">
        <f t="shared" si="3"/>
        <v>2.999999998792191E-3</v>
      </c>
      <c r="T19" s="13"/>
    </row>
    <row r="20" spans="1:20" x14ac:dyDescent="0.3">
      <c r="A20" s="13"/>
      <c r="B20" s="48">
        <v>43770</v>
      </c>
      <c r="C20" s="49" t="s">
        <v>22</v>
      </c>
      <c r="D20" s="49" t="s">
        <v>41</v>
      </c>
      <c r="E20" s="55">
        <v>21405.115000000002</v>
      </c>
      <c r="F20" s="55">
        <v>24.74</v>
      </c>
      <c r="G20" s="50">
        <f t="shared" si="0"/>
        <v>21380.375</v>
      </c>
      <c r="H20" s="50">
        <v>21405.109999999986</v>
      </c>
      <c r="I20" s="50">
        <v>24.740000000000066</v>
      </c>
      <c r="J20" s="51">
        <f t="shared" si="1"/>
        <v>21380.369999999984</v>
      </c>
      <c r="K20" s="51">
        <f t="shared" si="2"/>
        <v>21380.369999999984</v>
      </c>
      <c r="L20" s="137"/>
      <c r="M20" s="52">
        <f t="shared" si="4"/>
        <v>0.56120000000000003</v>
      </c>
      <c r="N20" s="53">
        <f t="shared" si="5"/>
        <v>11998</v>
      </c>
      <c r="O20" s="53">
        <v>0</v>
      </c>
      <c r="P20" s="53">
        <v>0</v>
      </c>
      <c r="Q20" s="53">
        <f t="shared" si="6"/>
        <v>11998</v>
      </c>
      <c r="R20" s="140"/>
      <c r="S20" s="54">
        <f t="shared" si="3"/>
        <v>5.0000000155705493E-3</v>
      </c>
      <c r="T20" s="13"/>
    </row>
    <row r="21" spans="1:20" ht="14" thickBot="1" x14ac:dyDescent="0.35">
      <c r="A21" s="13"/>
      <c r="B21" s="56">
        <v>43800</v>
      </c>
      <c r="C21" s="57" t="s">
        <v>23</v>
      </c>
      <c r="D21" s="57" t="s">
        <v>42</v>
      </c>
      <c r="E21" s="58">
        <v>21867.117999999999</v>
      </c>
      <c r="F21" s="58">
        <v>20.167999999999999</v>
      </c>
      <c r="G21" s="59">
        <f t="shared" si="0"/>
        <v>21846.949999999997</v>
      </c>
      <c r="H21" s="59">
        <v>21867.140000000014</v>
      </c>
      <c r="I21" s="59">
        <v>20.169999999999959</v>
      </c>
      <c r="J21" s="60">
        <f t="shared" si="1"/>
        <v>21846.970000000016</v>
      </c>
      <c r="K21" s="60">
        <f t="shared" si="2"/>
        <v>21846.949999999997</v>
      </c>
      <c r="L21" s="138"/>
      <c r="M21" s="61">
        <f t="shared" si="4"/>
        <v>0.56120000000000003</v>
      </c>
      <c r="N21" s="62">
        <f t="shared" si="5"/>
        <v>12260</v>
      </c>
      <c r="O21" s="62">
        <v>0</v>
      </c>
      <c r="P21" s="62">
        <v>0</v>
      </c>
      <c r="Q21" s="62">
        <f t="shared" si="6"/>
        <v>12260</v>
      </c>
      <c r="R21" s="141"/>
      <c r="S21" s="63">
        <f t="shared" si="3"/>
        <v>-2.0000000018626451E-2</v>
      </c>
      <c r="T21" s="13"/>
    </row>
    <row r="22" spans="1:20" x14ac:dyDescent="0.3">
      <c r="A22" s="13"/>
      <c r="B22" s="41">
        <v>43831</v>
      </c>
      <c r="C22" s="42" t="s">
        <v>24</v>
      </c>
      <c r="D22" s="42" t="s">
        <v>43</v>
      </c>
      <c r="E22" s="64">
        <v>21453.474999999999</v>
      </c>
      <c r="F22" s="64">
        <v>46.613</v>
      </c>
      <c r="G22" s="43">
        <f t="shared" si="0"/>
        <v>21406.861999999997</v>
      </c>
      <c r="H22" s="43">
        <v>21453.459999999963</v>
      </c>
      <c r="I22" s="43">
        <v>46.609999999999957</v>
      </c>
      <c r="J22" s="44">
        <f t="shared" si="1"/>
        <v>21406.849999999962</v>
      </c>
      <c r="K22" s="44">
        <f t="shared" si="2"/>
        <v>21406.849999999962</v>
      </c>
      <c r="L22" s="142">
        <f>SUM(K22:K33)</f>
        <v>221740.62800000003</v>
      </c>
      <c r="M22" s="45">
        <f t="shared" si="4"/>
        <v>0.56120000000000003</v>
      </c>
      <c r="N22" s="46">
        <f t="shared" si="5"/>
        <v>12013</v>
      </c>
      <c r="O22" s="46">
        <v>0</v>
      </c>
      <c r="P22" s="46">
        <v>0</v>
      </c>
      <c r="Q22" s="46">
        <f t="shared" ref="Q22:Q33" si="7">N22-O22-P22</f>
        <v>12013</v>
      </c>
      <c r="R22" s="139">
        <f>ROUNDDOWN(SUM(Q22:Q33),0)</f>
        <v>124435</v>
      </c>
      <c r="S22" s="47">
        <f t="shared" si="3"/>
        <v>1.2000000035186531E-2</v>
      </c>
      <c r="T22" s="13"/>
    </row>
    <row r="23" spans="1:20" x14ac:dyDescent="0.3">
      <c r="A23" s="13"/>
      <c r="B23" s="48">
        <v>43862</v>
      </c>
      <c r="C23" s="49" t="s">
        <v>25</v>
      </c>
      <c r="D23" s="49" t="s">
        <v>44</v>
      </c>
      <c r="E23" s="55">
        <v>23279.039000000001</v>
      </c>
      <c r="F23" s="55">
        <v>33.658000000000001</v>
      </c>
      <c r="G23" s="50">
        <f t="shared" si="0"/>
        <v>23245.381000000001</v>
      </c>
      <c r="H23" s="50">
        <v>23279.050000000017</v>
      </c>
      <c r="I23" s="50">
        <v>33.659999999999968</v>
      </c>
      <c r="J23" s="51">
        <f t="shared" si="1"/>
        <v>23245.390000000018</v>
      </c>
      <c r="K23" s="51">
        <f t="shared" si="2"/>
        <v>23245.381000000001</v>
      </c>
      <c r="L23" s="143"/>
      <c r="M23" s="52">
        <f t="shared" si="4"/>
        <v>0.56120000000000003</v>
      </c>
      <c r="N23" s="53">
        <f t="shared" si="5"/>
        <v>13045</v>
      </c>
      <c r="O23" s="53">
        <v>0</v>
      </c>
      <c r="P23" s="53">
        <v>0</v>
      </c>
      <c r="Q23" s="53">
        <f t="shared" si="7"/>
        <v>13045</v>
      </c>
      <c r="R23" s="140"/>
      <c r="S23" s="54">
        <f t="shared" si="3"/>
        <v>-9.0000000163854565E-3</v>
      </c>
      <c r="T23" s="13"/>
    </row>
    <row r="24" spans="1:20" x14ac:dyDescent="0.3">
      <c r="A24" s="13"/>
      <c r="B24" s="48">
        <v>43891</v>
      </c>
      <c r="C24" s="49" t="s">
        <v>26</v>
      </c>
      <c r="D24" s="49" t="s">
        <v>45</v>
      </c>
      <c r="E24" s="55">
        <v>25866.666000000001</v>
      </c>
      <c r="F24" s="55">
        <v>29.091999999999999</v>
      </c>
      <c r="G24" s="50">
        <f t="shared" si="0"/>
        <v>25837.574000000001</v>
      </c>
      <c r="H24" s="50">
        <v>25866.650000000052</v>
      </c>
      <c r="I24" s="50">
        <v>29.080000000000041</v>
      </c>
      <c r="J24" s="51">
        <f t="shared" si="1"/>
        <v>25837.570000000051</v>
      </c>
      <c r="K24" s="51">
        <f t="shared" si="2"/>
        <v>25837.570000000051</v>
      </c>
      <c r="L24" s="143"/>
      <c r="M24" s="52">
        <f t="shared" si="4"/>
        <v>0.56120000000000003</v>
      </c>
      <c r="N24" s="53">
        <f t="shared" si="5"/>
        <v>14500</v>
      </c>
      <c r="O24" s="53">
        <v>0</v>
      </c>
      <c r="P24" s="53">
        <v>0</v>
      </c>
      <c r="Q24" s="53">
        <f t="shared" si="7"/>
        <v>14500</v>
      </c>
      <c r="R24" s="140"/>
      <c r="S24" s="54">
        <f t="shared" si="3"/>
        <v>3.999999949883204E-3</v>
      </c>
      <c r="T24" s="13"/>
    </row>
    <row r="25" spans="1:20" x14ac:dyDescent="0.3">
      <c r="A25" s="13"/>
      <c r="B25" s="48">
        <v>43922</v>
      </c>
      <c r="C25" s="49" t="s">
        <v>20</v>
      </c>
      <c r="D25" s="49" t="s">
        <v>46</v>
      </c>
      <c r="E25" s="55">
        <v>20114.448</v>
      </c>
      <c r="F25" s="55">
        <v>28.576000000000001</v>
      </c>
      <c r="G25" s="50">
        <f t="shared" si="0"/>
        <v>20085.871999999999</v>
      </c>
      <c r="H25" s="50">
        <v>20114.469999999968</v>
      </c>
      <c r="I25" s="50">
        <v>28.590000000000032</v>
      </c>
      <c r="J25" s="51">
        <f t="shared" si="1"/>
        <v>20085.879999999968</v>
      </c>
      <c r="K25" s="51">
        <f t="shared" si="2"/>
        <v>20085.871999999999</v>
      </c>
      <c r="L25" s="143"/>
      <c r="M25" s="52">
        <f t="shared" si="4"/>
        <v>0.56120000000000003</v>
      </c>
      <c r="N25" s="53">
        <f t="shared" si="5"/>
        <v>11272</v>
      </c>
      <c r="O25" s="53">
        <v>0</v>
      </c>
      <c r="P25" s="53">
        <v>0</v>
      </c>
      <c r="Q25" s="53">
        <f t="shared" si="7"/>
        <v>11272</v>
      </c>
      <c r="R25" s="140"/>
      <c r="S25" s="54">
        <f t="shared" si="3"/>
        <v>-7.9999999688880052E-3</v>
      </c>
      <c r="T25" s="13"/>
    </row>
    <row r="26" spans="1:20" x14ac:dyDescent="0.3">
      <c r="A26" s="13"/>
      <c r="B26" s="48">
        <v>43952</v>
      </c>
      <c r="C26" s="49" t="s">
        <v>18</v>
      </c>
      <c r="D26" s="49" t="s">
        <v>47</v>
      </c>
      <c r="E26" s="55">
        <v>16979.330000000002</v>
      </c>
      <c r="F26" s="55">
        <v>42.131</v>
      </c>
      <c r="G26" s="50">
        <f t="shared" si="0"/>
        <v>16937.199000000001</v>
      </c>
      <c r="H26" s="50">
        <v>16979.320000000007</v>
      </c>
      <c r="I26" s="50">
        <v>42.120000000000005</v>
      </c>
      <c r="J26" s="51">
        <f t="shared" si="1"/>
        <v>16937.200000000008</v>
      </c>
      <c r="K26" s="51">
        <f t="shared" si="2"/>
        <v>16937.199000000001</v>
      </c>
      <c r="L26" s="143"/>
      <c r="M26" s="52">
        <f t="shared" si="4"/>
        <v>0.56120000000000003</v>
      </c>
      <c r="N26" s="53">
        <f t="shared" si="5"/>
        <v>9505</v>
      </c>
      <c r="O26" s="53">
        <v>0</v>
      </c>
      <c r="P26" s="53">
        <v>0</v>
      </c>
      <c r="Q26" s="53">
        <f t="shared" si="7"/>
        <v>9505</v>
      </c>
      <c r="R26" s="140"/>
      <c r="S26" s="54">
        <f t="shared" si="3"/>
        <v>-1.0000000074796844E-3</v>
      </c>
      <c r="T26" s="13"/>
    </row>
    <row r="27" spans="1:20" x14ac:dyDescent="0.3">
      <c r="A27" s="13"/>
      <c r="B27" s="48">
        <v>43983</v>
      </c>
      <c r="C27" s="49" t="s">
        <v>27</v>
      </c>
      <c r="D27" s="49" t="s">
        <v>48</v>
      </c>
      <c r="E27" s="55">
        <v>9940.92</v>
      </c>
      <c r="F27" s="55">
        <v>82.26</v>
      </c>
      <c r="G27" s="50">
        <f t="shared" si="0"/>
        <v>9858.66</v>
      </c>
      <c r="H27" s="50">
        <v>9940.9099999999871</v>
      </c>
      <c r="I27" s="50">
        <v>82.269999999999897</v>
      </c>
      <c r="J27" s="51">
        <f t="shared" si="1"/>
        <v>9858.6399999999867</v>
      </c>
      <c r="K27" s="51">
        <f t="shared" si="2"/>
        <v>9858.6399999999867</v>
      </c>
      <c r="L27" s="143"/>
      <c r="M27" s="52">
        <f t="shared" si="4"/>
        <v>0.56120000000000003</v>
      </c>
      <c r="N27" s="53">
        <f t="shared" si="5"/>
        <v>5532</v>
      </c>
      <c r="O27" s="53">
        <v>0</v>
      </c>
      <c r="P27" s="53">
        <v>0</v>
      </c>
      <c r="Q27" s="53">
        <f t="shared" si="7"/>
        <v>5532</v>
      </c>
      <c r="R27" s="140"/>
      <c r="S27" s="54">
        <f t="shared" si="3"/>
        <v>2.0000000013169483E-2</v>
      </c>
      <c r="T27" s="13"/>
    </row>
    <row r="28" spans="1:20" x14ac:dyDescent="0.3">
      <c r="A28" s="13"/>
      <c r="B28" s="48">
        <v>44013</v>
      </c>
      <c r="C28" s="49" t="s">
        <v>28</v>
      </c>
      <c r="D28" s="49" t="s">
        <v>49</v>
      </c>
      <c r="E28" s="55">
        <v>14699.626</v>
      </c>
      <c r="F28" s="55">
        <v>28.241</v>
      </c>
      <c r="G28" s="50">
        <f t="shared" si="0"/>
        <v>14671.385</v>
      </c>
      <c r="H28" s="50">
        <v>14699.629999999976</v>
      </c>
      <c r="I28" s="50">
        <v>28.240000000000123</v>
      </c>
      <c r="J28" s="51">
        <f t="shared" si="1"/>
        <v>14671.389999999976</v>
      </c>
      <c r="K28" s="51">
        <f t="shared" si="2"/>
        <v>14671.385</v>
      </c>
      <c r="L28" s="143"/>
      <c r="M28" s="52">
        <f t="shared" si="4"/>
        <v>0.56120000000000003</v>
      </c>
      <c r="N28" s="53">
        <f t="shared" si="5"/>
        <v>8233</v>
      </c>
      <c r="O28" s="53">
        <v>0</v>
      </c>
      <c r="P28" s="53">
        <v>0</v>
      </c>
      <c r="Q28" s="53">
        <f t="shared" si="7"/>
        <v>8233</v>
      </c>
      <c r="R28" s="140"/>
      <c r="S28" s="54">
        <f t="shared" si="3"/>
        <v>-4.9999999755527824E-3</v>
      </c>
      <c r="T28" s="13"/>
    </row>
    <row r="29" spans="1:20" x14ac:dyDescent="0.3">
      <c r="A29" s="13"/>
      <c r="B29" s="48">
        <v>44044</v>
      </c>
      <c r="C29" s="49" t="s">
        <v>15</v>
      </c>
      <c r="D29" s="49" t="s">
        <v>50</v>
      </c>
      <c r="E29" s="55">
        <v>12953.567999999999</v>
      </c>
      <c r="F29" s="55">
        <v>51.712000000000003</v>
      </c>
      <c r="G29" s="50">
        <f t="shared" si="0"/>
        <v>12901.856</v>
      </c>
      <c r="H29" s="50">
        <v>12953.570000000036</v>
      </c>
      <c r="I29" s="50">
        <v>51.710000000000036</v>
      </c>
      <c r="J29" s="51">
        <f t="shared" si="1"/>
        <v>12901.860000000037</v>
      </c>
      <c r="K29" s="51">
        <f t="shared" si="2"/>
        <v>12901.856</v>
      </c>
      <c r="L29" s="143"/>
      <c r="M29" s="52">
        <f t="shared" si="4"/>
        <v>0.56120000000000003</v>
      </c>
      <c r="N29" s="53">
        <f t="shared" si="5"/>
        <v>7240</v>
      </c>
      <c r="O29" s="53">
        <v>0</v>
      </c>
      <c r="P29" s="53">
        <v>0</v>
      </c>
      <c r="Q29" s="53">
        <f t="shared" si="7"/>
        <v>7240</v>
      </c>
      <c r="R29" s="140"/>
      <c r="S29" s="54">
        <f t="shared" si="3"/>
        <v>-4.0000000371946953E-3</v>
      </c>
      <c r="T29" s="13"/>
    </row>
    <row r="30" spans="1:20" x14ac:dyDescent="0.3">
      <c r="A30" s="13"/>
      <c r="B30" s="48">
        <v>44075</v>
      </c>
      <c r="C30" s="49" t="s">
        <v>16</v>
      </c>
      <c r="D30" s="49" t="s">
        <v>51</v>
      </c>
      <c r="E30" s="55">
        <v>20798.612000000001</v>
      </c>
      <c r="F30" s="55">
        <v>28.876999999999999</v>
      </c>
      <c r="G30" s="50">
        <f t="shared" si="0"/>
        <v>20769.735000000001</v>
      </c>
      <c r="H30" s="50">
        <v>20798.609999999986</v>
      </c>
      <c r="I30" s="50">
        <v>28.879999999999885</v>
      </c>
      <c r="J30" s="51">
        <f t="shared" si="1"/>
        <v>20769.729999999985</v>
      </c>
      <c r="K30" s="51">
        <f t="shared" si="2"/>
        <v>20769.729999999985</v>
      </c>
      <c r="L30" s="143"/>
      <c r="M30" s="52">
        <f t="shared" si="4"/>
        <v>0.56120000000000003</v>
      </c>
      <c r="N30" s="53">
        <f t="shared" si="5"/>
        <v>11655</v>
      </c>
      <c r="O30" s="53">
        <v>0</v>
      </c>
      <c r="P30" s="53">
        <v>0</v>
      </c>
      <c r="Q30" s="53">
        <f t="shared" si="7"/>
        <v>11655</v>
      </c>
      <c r="R30" s="140"/>
      <c r="S30" s="54">
        <f t="shared" si="3"/>
        <v>5.0000000155705493E-3</v>
      </c>
      <c r="T30" s="13"/>
    </row>
    <row r="31" spans="1:20" x14ac:dyDescent="0.3">
      <c r="A31" s="13"/>
      <c r="B31" s="48">
        <v>44105</v>
      </c>
      <c r="C31" s="49" t="s">
        <v>29</v>
      </c>
      <c r="D31" s="49" t="s">
        <v>52</v>
      </c>
      <c r="E31" s="55">
        <v>15285.659</v>
      </c>
      <c r="F31" s="55">
        <v>48.820999999999998</v>
      </c>
      <c r="G31" s="50">
        <f t="shared" si="0"/>
        <v>15236.838</v>
      </c>
      <c r="H31" s="50">
        <v>15285.660000000034</v>
      </c>
      <c r="I31" s="50">
        <v>48.829999999999984</v>
      </c>
      <c r="J31" s="51">
        <f t="shared" si="1"/>
        <v>15236.830000000034</v>
      </c>
      <c r="K31" s="51">
        <f t="shared" si="2"/>
        <v>15236.830000000034</v>
      </c>
      <c r="L31" s="143"/>
      <c r="M31" s="52">
        <f t="shared" si="4"/>
        <v>0.56120000000000003</v>
      </c>
      <c r="N31" s="53">
        <f t="shared" si="5"/>
        <v>8550</v>
      </c>
      <c r="O31" s="53">
        <v>0</v>
      </c>
      <c r="P31" s="53">
        <v>0</v>
      </c>
      <c r="Q31" s="53">
        <f t="shared" si="7"/>
        <v>8550</v>
      </c>
      <c r="R31" s="140"/>
      <c r="S31" s="54">
        <f t="shared" si="3"/>
        <v>7.9999999652500264E-3</v>
      </c>
      <c r="T31" s="13"/>
    </row>
    <row r="32" spans="1:20" x14ac:dyDescent="0.3">
      <c r="A32" s="13"/>
      <c r="B32" s="48">
        <v>44136</v>
      </c>
      <c r="C32" s="49" t="s">
        <v>30</v>
      </c>
      <c r="D32" s="49" t="s">
        <v>53</v>
      </c>
      <c r="E32" s="55">
        <v>19138.794999999998</v>
      </c>
      <c r="F32" s="55">
        <v>48.415999999999997</v>
      </c>
      <c r="G32" s="50">
        <f t="shared" si="0"/>
        <v>19090.378999999997</v>
      </c>
      <c r="H32" s="50">
        <v>19138.78999999995</v>
      </c>
      <c r="I32" s="50">
        <v>48.409999999999968</v>
      </c>
      <c r="J32" s="51">
        <f t="shared" si="1"/>
        <v>19090.37999999995</v>
      </c>
      <c r="K32" s="51">
        <f t="shared" si="2"/>
        <v>19090.378999999997</v>
      </c>
      <c r="L32" s="143"/>
      <c r="M32" s="52">
        <f t="shared" si="4"/>
        <v>0.56120000000000003</v>
      </c>
      <c r="N32" s="53">
        <f t="shared" si="5"/>
        <v>10713</v>
      </c>
      <c r="O32" s="53">
        <v>0</v>
      </c>
      <c r="P32" s="53">
        <v>0</v>
      </c>
      <c r="Q32" s="53">
        <f t="shared" si="7"/>
        <v>10713</v>
      </c>
      <c r="R32" s="140"/>
      <c r="S32" s="54">
        <f t="shared" si="3"/>
        <v>-9.9999995291000232E-4</v>
      </c>
      <c r="T32" s="13"/>
    </row>
    <row r="33" spans="1:20" ht="14" thickBot="1" x14ac:dyDescent="0.35">
      <c r="A33" s="65"/>
      <c r="B33" s="56">
        <v>44166</v>
      </c>
      <c r="C33" s="57" t="s">
        <v>31</v>
      </c>
      <c r="D33" s="57" t="s">
        <v>54</v>
      </c>
      <c r="E33" s="58">
        <v>21747.879000000001</v>
      </c>
      <c r="F33" s="58">
        <v>48.942999999999998</v>
      </c>
      <c r="G33" s="59">
        <f t="shared" si="0"/>
        <v>21698.936000000002</v>
      </c>
      <c r="H33" s="59">
        <v>21747.880000000005</v>
      </c>
      <c r="I33" s="59">
        <v>48.940000000000111</v>
      </c>
      <c r="J33" s="60">
        <f t="shared" si="1"/>
        <v>21698.940000000006</v>
      </c>
      <c r="K33" s="60">
        <f t="shared" si="2"/>
        <v>21698.936000000002</v>
      </c>
      <c r="L33" s="144"/>
      <c r="M33" s="61">
        <f t="shared" si="4"/>
        <v>0.56120000000000003</v>
      </c>
      <c r="N33" s="62">
        <f t="shared" si="5"/>
        <v>12177</v>
      </c>
      <c r="O33" s="62">
        <v>0</v>
      </c>
      <c r="P33" s="62">
        <v>0</v>
      </c>
      <c r="Q33" s="62">
        <f t="shared" si="7"/>
        <v>12177</v>
      </c>
      <c r="R33" s="141"/>
      <c r="S33" s="63">
        <f t="shared" si="3"/>
        <v>-4.0000000044528861E-3</v>
      </c>
      <c r="T33" s="13"/>
    </row>
    <row r="34" spans="1:20" x14ac:dyDescent="0.3">
      <c r="A34" s="13"/>
      <c r="B34" s="41">
        <v>44197</v>
      </c>
      <c r="C34" s="42" t="s">
        <v>34</v>
      </c>
      <c r="D34" s="42" t="s">
        <v>55</v>
      </c>
      <c r="E34" s="64">
        <v>26558.242999999999</v>
      </c>
      <c r="F34" s="64">
        <v>16.004999999999999</v>
      </c>
      <c r="G34" s="43">
        <f t="shared" si="0"/>
        <v>26542.237999999998</v>
      </c>
      <c r="H34" s="43">
        <v>26558.250000000029</v>
      </c>
      <c r="I34" s="43">
        <v>15.999999999999943</v>
      </c>
      <c r="J34" s="44">
        <f t="shared" si="1"/>
        <v>26542.250000000029</v>
      </c>
      <c r="K34" s="44">
        <f t="shared" si="2"/>
        <v>26542.237999999998</v>
      </c>
      <c r="L34" s="136">
        <f>SUM(K34:K45)</f>
        <v>215498.15500000003</v>
      </c>
      <c r="M34" s="45">
        <f t="shared" si="4"/>
        <v>0.56120000000000003</v>
      </c>
      <c r="N34" s="46">
        <f>ROUNDDOWN(K34*M34,0)</f>
        <v>14895</v>
      </c>
      <c r="O34" s="46">
        <v>0</v>
      </c>
      <c r="P34" s="46">
        <v>0</v>
      </c>
      <c r="Q34" s="46">
        <f t="shared" ref="Q34:Q45" si="8">N34-O34-P34</f>
        <v>14895</v>
      </c>
      <c r="R34" s="145">
        <f>ROUNDDOWN(SUM(Q34:Q45),0)</f>
        <v>120932</v>
      </c>
      <c r="S34" s="47">
        <f t="shared" si="3"/>
        <v>-1.2000000031548552E-2</v>
      </c>
      <c r="T34" s="13"/>
    </row>
    <row r="35" spans="1:20" x14ac:dyDescent="0.3">
      <c r="A35" s="13"/>
      <c r="B35" s="48">
        <v>44228</v>
      </c>
      <c r="C35" s="49" t="s">
        <v>32</v>
      </c>
      <c r="D35" s="49" t="s">
        <v>63</v>
      </c>
      <c r="E35" s="55">
        <v>19151.238000000001</v>
      </c>
      <c r="F35" s="55">
        <v>46.093000000000004</v>
      </c>
      <c r="G35" s="50">
        <f t="shared" si="0"/>
        <v>19105.145</v>
      </c>
      <c r="H35" s="50">
        <v>19151.259999999951</v>
      </c>
      <c r="I35" s="50">
        <v>46.100000000000023</v>
      </c>
      <c r="J35" s="51">
        <f t="shared" si="1"/>
        <v>19105.159999999953</v>
      </c>
      <c r="K35" s="51">
        <f t="shared" si="2"/>
        <v>19105.145</v>
      </c>
      <c r="L35" s="137"/>
      <c r="M35" s="52">
        <f t="shared" si="4"/>
        <v>0.56120000000000003</v>
      </c>
      <c r="N35" s="53">
        <f t="shared" ref="N35:N45" si="9">ROUNDDOWN(K35*M35,0)</f>
        <v>10721</v>
      </c>
      <c r="O35" s="53">
        <v>0</v>
      </c>
      <c r="P35" s="53">
        <v>0</v>
      </c>
      <c r="Q35" s="53">
        <f t="shared" si="8"/>
        <v>10721</v>
      </c>
      <c r="R35" s="146"/>
      <c r="S35" s="54">
        <f t="shared" si="3"/>
        <v>-1.4999999952124199E-2</v>
      </c>
      <c r="T35" s="13"/>
    </row>
    <row r="36" spans="1:20" x14ac:dyDescent="0.3">
      <c r="A36" s="13"/>
      <c r="B36" s="48">
        <v>44256</v>
      </c>
      <c r="C36" s="49" t="s">
        <v>33</v>
      </c>
      <c r="D36" s="49" t="s">
        <v>64</v>
      </c>
      <c r="E36" s="55">
        <v>18564.066999999999</v>
      </c>
      <c r="F36" s="55">
        <v>40.982999999999997</v>
      </c>
      <c r="G36" s="50">
        <f t="shared" si="0"/>
        <v>18523.083999999999</v>
      </c>
      <c r="H36" s="50">
        <v>18564.050000000076</v>
      </c>
      <c r="I36" s="50">
        <v>40.96999999999997</v>
      </c>
      <c r="J36" s="51">
        <f t="shared" si="1"/>
        <v>18523.080000000075</v>
      </c>
      <c r="K36" s="51">
        <f t="shared" si="2"/>
        <v>18523.080000000075</v>
      </c>
      <c r="L36" s="137"/>
      <c r="M36" s="52">
        <f t="shared" si="4"/>
        <v>0.56120000000000003</v>
      </c>
      <c r="N36" s="53">
        <f t="shared" si="9"/>
        <v>10395</v>
      </c>
      <c r="O36" s="53">
        <v>0</v>
      </c>
      <c r="P36" s="53">
        <v>0</v>
      </c>
      <c r="Q36" s="53">
        <f t="shared" si="8"/>
        <v>10395</v>
      </c>
      <c r="R36" s="146"/>
      <c r="S36" s="54">
        <f t="shared" si="3"/>
        <v>3.9999999244173523E-3</v>
      </c>
      <c r="T36" s="13"/>
    </row>
    <row r="37" spans="1:20" x14ac:dyDescent="0.3">
      <c r="A37" s="13"/>
      <c r="B37" s="48">
        <v>44287</v>
      </c>
      <c r="C37" s="49" t="s">
        <v>56</v>
      </c>
      <c r="D37" s="49" t="s">
        <v>65</v>
      </c>
      <c r="E37" s="55">
        <v>12528.216</v>
      </c>
      <c r="F37" s="66">
        <v>64.260000000000005</v>
      </c>
      <c r="G37" s="67">
        <f t="shared" si="0"/>
        <v>12463.956</v>
      </c>
      <c r="H37" s="51">
        <v>12528.209999999934</v>
      </c>
      <c r="I37" s="50">
        <v>64.270000000000039</v>
      </c>
      <c r="J37" s="51">
        <f t="shared" si="1"/>
        <v>12463.939999999933</v>
      </c>
      <c r="K37" s="51">
        <f t="shared" si="2"/>
        <v>12463.939999999933</v>
      </c>
      <c r="L37" s="137"/>
      <c r="M37" s="52">
        <f t="shared" si="4"/>
        <v>0.56120000000000003</v>
      </c>
      <c r="N37" s="53">
        <f t="shared" si="9"/>
        <v>6994</v>
      </c>
      <c r="O37" s="53">
        <v>0</v>
      </c>
      <c r="P37" s="53">
        <v>0</v>
      </c>
      <c r="Q37" s="53">
        <f t="shared" si="8"/>
        <v>6994</v>
      </c>
      <c r="R37" s="146"/>
      <c r="S37" s="54">
        <f t="shared" si="3"/>
        <v>1.6000000066924258E-2</v>
      </c>
      <c r="T37" s="13"/>
    </row>
    <row r="38" spans="1:20" x14ac:dyDescent="0.3">
      <c r="A38" s="13"/>
      <c r="B38" s="48">
        <v>44317</v>
      </c>
      <c r="C38" s="49" t="s">
        <v>57</v>
      </c>
      <c r="D38" s="49" t="s">
        <v>66</v>
      </c>
      <c r="E38" s="55">
        <v>14888.624</v>
      </c>
      <c r="F38" s="66">
        <v>48.198</v>
      </c>
      <c r="G38" s="67">
        <f t="shared" si="0"/>
        <v>14840.425999999999</v>
      </c>
      <c r="H38" s="51">
        <v>14888.630000000034</v>
      </c>
      <c r="I38" s="50">
        <v>48.199999999999989</v>
      </c>
      <c r="J38" s="51">
        <f t="shared" si="1"/>
        <v>14840.430000000033</v>
      </c>
      <c r="K38" s="51">
        <f t="shared" si="2"/>
        <v>14840.425999999999</v>
      </c>
      <c r="L38" s="137"/>
      <c r="M38" s="52">
        <f t="shared" si="4"/>
        <v>0.56120000000000003</v>
      </c>
      <c r="N38" s="53">
        <f t="shared" si="9"/>
        <v>8328</v>
      </c>
      <c r="O38" s="53">
        <v>0</v>
      </c>
      <c r="P38" s="53">
        <v>0</v>
      </c>
      <c r="Q38" s="53">
        <f t="shared" si="8"/>
        <v>8328</v>
      </c>
      <c r="R38" s="146"/>
      <c r="S38" s="54">
        <f t="shared" si="3"/>
        <v>-4.0000000335567165E-3</v>
      </c>
      <c r="T38" s="13"/>
    </row>
    <row r="39" spans="1:20" x14ac:dyDescent="0.3">
      <c r="A39" s="13"/>
      <c r="B39" s="48">
        <v>44348</v>
      </c>
      <c r="C39" s="49" t="s">
        <v>58</v>
      </c>
      <c r="D39" s="49" t="s">
        <v>67</v>
      </c>
      <c r="E39" s="55">
        <v>10469.022000000001</v>
      </c>
      <c r="F39" s="66">
        <v>76.521000000000001</v>
      </c>
      <c r="G39" s="67">
        <f t="shared" si="0"/>
        <v>10392.501</v>
      </c>
      <c r="H39" s="51">
        <v>10469.510000000009</v>
      </c>
      <c r="I39" s="50">
        <v>76.520000000000095</v>
      </c>
      <c r="J39" s="51">
        <f t="shared" si="1"/>
        <v>10392.990000000009</v>
      </c>
      <c r="K39" s="51">
        <f t="shared" si="2"/>
        <v>10392.501</v>
      </c>
      <c r="L39" s="137"/>
      <c r="M39" s="52">
        <f t="shared" si="4"/>
        <v>0.56120000000000003</v>
      </c>
      <c r="N39" s="53">
        <f t="shared" si="9"/>
        <v>5832</v>
      </c>
      <c r="O39" s="53">
        <v>0</v>
      </c>
      <c r="P39" s="53">
        <v>0</v>
      </c>
      <c r="Q39" s="53">
        <f t="shared" si="8"/>
        <v>5832</v>
      </c>
      <c r="R39" s="146"/>
      <c r="S39" s="54">
        <f t="shared" si="3"/>
        <v>-0.48900000000867294</v>
      </c>
      <c r="T39" s="13"/>
    </row>
    <row r="40" spans="1:20" x14ac:dyDescent="0.3">
      <c r="A40" s="13"/>
      <c r="B40" s="48">
        <v>44378</v>
      </c>
      <c r="C40" s="49" t="s">
        <v>59</v>
      </c>
      <c r="D40" s="49" t="s">
        <v>61</v>
      </c>
      <c r="E40" s="55">
        <v>16519.52</v>
      </c>
      <c r="F40" s="66">
        <v>52.494</v>
      </c>
      <c r="G40" s="67">
        <f t="shared" si="0"/>
        <v>16467.026000000002</v>
      </c>
      <c r="H40" s="51">
        <v>16519.539999999979</v>
      </c>
      <c r="I40" s="50">
        <v>52.499999999999886</v>
      </c>
      <c r="J40" s="51">
        <f t="shared" si="1"/>
        <v>16467.039999999979</v>
      </c>
      <c r="K40" s="51">
        <f t="shared" si="2"/>
        <v>16467.026000000002</v>
      </c>
      <c r="L40" s="137"/>
      <c r="M40" s="52">
        <f t="shared" si="4"/>
        <v>0.56120000000000003</v>
      </c>
      <c r="N40" s="53">
        <f t="shared" si="9"/>
        <v>9241</v>
      </c>
      <c r="O40" s="53">
        <v>0</v>
      </c>
      <c r="P40" s="53">
        <v>0</v>
      </c>
      <c r="Q40" s="53">
        <f t="shared" si="8"/>
        <v>9241</v>
      </c>
      <c r="R40" s="146"/>
      <c r="S40" s="54">
        <f t="shared" si="3"/>
        <v>-1.3999999977386324E-2</v>
      </c>
      <c r="T40" s="13"/>
    </row>
    <row r="41" spans="1:20" x14ac:dyDescent="0.3">
      <c r="A41" s="13"/>
      <c r="B41" s="48">
        <v>44409</v>
      </c>
      <c r="C41" s="49" t="s">
        <v>60</v>
      </c>
      <c r="D41" s="49" t="s">
        <v>62</v>
      </c>
      <c r="E41" s="55">
        <v>10783.154</v>
      </c>
      <c r="F41" s="66">
        <v>89.516999999999996</v>
      </c>
      <c r="G41" s="67">
        <f t="shared" si="0"/>
        <v>10693.637000000001</v>
      </c>
      <c r="H41" s="51">
        <v>10783.149999999965</v>
      </c>
      <c r="I41" s="50">
        <v>89.510000000000161</v>
      </c>
      <c r="J41" s="51">
        <f t="shared" si="1"/>
        <v>10693.639999999965</v>
      </c>
      <c r="K41" s="51">
        <f t="shared" si="2"/>
        <v>10693.637000000001</v>
      </c>
      <c r="L41" s="137"/>
      <c r="M41" s="52">
        <f t="shared" si="4"/>
        <v>0.56120000000000003</v>
      </c>
      <c r="N41" s="53">
        <f t="shared" si="9"/>
        <v>6001</v>
      </c>
      <c r="O41" s="53">
        <v>0</v>
      </c>
      <c r="P41" s="53">
        <v>0</v>
      </c>
      <c r="Q41" s="53">
        <f t="shared" si="8"/>
        <v>6001</v>
      </c>
      <c r="R41" s="146"/>
      <c r="S41" s="54">
        <f t="shared" si="3"/>
        <v>-2.9999999642313924E-3</v>
      </c>
      <c r="T41" s="13"/>
    </row>
    <row r="42" spans="1:20" x14ac:dyDescent="0.3">
      <c r="A42" s="13"/>
      <c r="B42" s="48">
        <v>44440</v>
      </c>
      <c r="C42" s="49" t="s">
        <v>71</v>
      </c>
      <c r="D42" s="49" t="s">
        <v>72</v>
      </c>
      <c r="E42" s="55">
        <v>17301.284</v>
      </c>
      <c r="F42" s="66">
        <v>46.762999999999998</v>
      </c>
      <c r="G42" s="67">
        <f t="shared" si="0"/>
        <v>17254.521000000001</v>
      </c>
      <c r="H42" s="51">
        <v>17301.270000000077</v>
      </c>
      <c r="I42" s="50">
        <v>46.769999999999989</v>
      </c>
      <c r="J42" s="51">
        <f t="shared" si="1"/>
        <v>17254.500000000076</v>
      </c>
      <c r="K42" s="51">
        <f t="shared" si="2"/>
        <v>17254.500000000076</v>
      </c>
      <c r="L42" s="137"/>
      <c r="M42" s="52">
        <f t="shared" si="4"/>
        <v>0.56120000000000003</v>
      </c>
      <c r="N42" s="53">
        <f t="shared" si="9"/>
        <v>9683</v>
      </c>
      <c r="O42" s="53">
        <v>0</v>
      </c>
      <c r="P42" s="53">
        <v>0</v>
      </c>
      <c r="Q42" s="53">
        <f t="shared" si="8"/>
        <v>9683</v>
      </c>
      <c r="R42" s="146"/>
      <c r="S42" s="54">
        <f t="shared" si="3"/>
        <v>2.0999999924242729E-2</v>
      </c>
      <c r="T42" s="13"/>
    </row>
    <row r="43" spans="1:20" x14ac:dyDescent="0.3">
      <c r="A43" s="13"/>
      <c r="B43" s="48">
        <v>44470</v>
      </c>
      <c r="C43" s="49">
        <v>44470</v>
      </c>
      <c r="D43" s="131">
        <v>44500</v>
      </c>
      <c r="E43" s="55">
        <v>20914.669999999998</v>
      </c>
      <c r="F43" s="66">
        <v>37.536999999999999</v>
      </c>
      <c r="G43" s="67">
        <f t="shared" si="0"/>
        <v>20877.132999999998</v>
      </c>
      <c r="H43" s="51">
        <v>20914.679999999993</v>
      </c>
      <c r="I43" s="50">
        <v>37.529999999999973</v>
      </c>
      <c r="J43" s="51">
        <f t="shared" si="1"/>
        <v>20877.149999999994</v>
      </c>
      <c r="K43" s="51">
        <f t="shared" si="2"/>
        <v>20877.132999999998</v>
      </c>
      <c r="L43" s="137"/>
      <c r="M43" s="52">
        <f t="shared" si="4"/>
        <v>0.56120000000000003</v>
      </c>
      <c r="N43" s="53">
        <f t="shared" si="9"/>
        <v>11716</v>
      </c>
      <c r="O43" s="53">
        <v>0</v>
      </c>
      <c r="P43" s="53">
        <v>0</v>
      </c>
      <c r="Q43" s="53">
        <f t="shared" si="8"/>
        <v>11716</v>
      </c>
      <c r="R43" s="146"/>
      <c r="S43" s="54">
        <f t="shared" si="3"/>
        <v>-1.6999999996187398E-2</v>
      </c>
      <c r="T43" s="13"/>
    </row>
    <row r="44" spans="1:20" x14ac:dyDescent="0.3">
      <c r="A44" s="13"/>
      <c r="B44" s="48">
        <v>44501</v>
      </c>
      <c r="C44" s="49">
        <v>44501</v>
      </c>
      <c r="D44" s="131">
        <v>44530</v>
      </c>
      <c r="E44" s="55">
        <v>18743.949000000001</v>
      </c>
      <c r="F44" s="66">
        <v>69.971999999999994</v>
      </c>
      <c r="G44" s="67">
        <f t="shared" si="0"/>
        <v>18673.976999999999</v>
      </c>
      <c r="H44" s="51">
        <v>18743.839999999967</v>
      </c>
      <c r="I44" s="50">
        <v>69.970000000000027</v>
      </c>
      <c r="J44" s="51">
        <f t="shared" si="1"/>
        <v>18673.869999999966</v>
      </c>
      <c r="K44" s="51">
        <f t="shared" si="2"/>
        <v>18673.869999999966</v>
      </c>
      <c r="L44" s="137"/>
      <c r="M44" s="52">
        <f t="shared" si="4"/>
        <v>0.56120000000000003</v>
      </c>
      <c r="N44" s="53">
        <f t="shared" si="9"/>
        <v>10479</v>
      </c>
      <c r="O44" s="53">
        <v>0</v>
      </c>
      <c r="P44" s="53">
        <v>0</v>
      </c>
      <c r="Q44" s="53">
        <f t="shared" si="8"/>
        <v>10479</v>
      </c>
      <c r="R44" s="146"/>
      <c r="S44" s="54">
        <f t="shared" si="3"/>
        <v>0.10700000003271271</v>
      </c>
      <c r="T44" s="13"/>
    </row>
    <row r="45" spans="1:20" ht="14" thickBot="1" x14ac:dyDescent="0.35">
      <c r="A45" s="13"/>
      <c r="B45" s="56">
        <v>44531</v>
      </c>
      <c r="C45" s="57">
        <v>44531</v>
      </c>
      <c r="D45" s="132">
        <v>44561</v>
      </c>
      <c r="E45" s="58">
        <v>29685.941999999999</v>
      </c>
      <c r="F45" s="68">
        <v>21.283000000000001</v>
      </c>
      <c r="G45" s="69">
        <f t="shared" si="0"/>
        <v>29664.659</v>
      </c>
      <c r="H45" s="60">
        <v>29686.059999999939</v>
      </c>
      <c r="I45" s="59">
        <v>21.279999999999859</v>
      </c>
      <c r="J45" s="60">
        <f t="shared" si="1"/>
        <v>29664.779999999941</v>
      </c>
      <c r="K45" s="60">
        <f t="shared" si="2"/>
        <v>29664.659</v>
      </c>
      <c r="L45" s="138"/>
      <c r="M45" s="61">
        <f t="shared" si="4"/>
        <v>0.56120000000000003</v>
      </c>
      <c r="N45" s="62">
        <f t="shared" si="9"/>
        <v>16647</v>
      </c>
      <c r="O45" s="62">
        <v>0</v>
      </c>
      <c r="P45" s="62">
        <v>0</v>
      </c>
      <c r="Q45" s="62">
        <f t="shared" si="8"/>
        <v>16647</v>
      </c>
      <c r="R45" s="147"/>
      <c r="S45" s="63">
        <f t="shared" si="3"/>
        <v>-0.12099999994097743</v>
      </c>
      <c r="T45" s="13"/>
    </row>
    <row r="46" spans="1:20" ht="14" thickBot="1" x14ac:dyDescent="0.35">
      <c r="A46" s="13"/>
      <c r="B46" s="41">
        <v>44562</v>
      </c>
      <c r="C46" s="42">
        <v>44562</v>
      </c>
      <c r="D46" s="42">
        <v>44592</v>
      </c>
      <c r="E46" s="43">
        <v>25860.653999999999</v>
      </c>
      <c r="F46" s="43">
        <v>27.631</v>
      </c>
      <c r="G46" s="70">
        <f t="shared" si="0"/>
        <v>25833.022999999997</v>
      </c>
      <c r="H46" s="44">
        <v>25860.630000000117</v>
      </c>
      <c r="I46" s="71">
        <v>27.629999999999995</v>
      </c>
      <c r="J46" s="60">
        <f t="shared" si="1"/>
        <v>25833.000000000116</v>
      </c>
      <c r="K46" s="60">
        <f t="shared" si="2"/>
        <v>25833.000000000116</v>
      </c>
      <c r="L46" s="136">
        <f>SUM(K46:K48)</f>
        <v>75303.229000000021</v>
      </c>
      <c r="M46" s="45">
        <f t="shared" si="4"/>
        <v>0.56120000000000003</v>
      </c>
      <c r="N46" s="46">
        <f>ROUNDDOWN(K46*M46,0)</f>
        <v>14497</v>
      </c>
      <c r="O46" s="62">
        <v>0</v>
      </c>
      <c r="P46" s="62">
        <v>0</v>
      </c>
      <c r="Q46" s="62">
        <f t="shared" ref="Q46:Q48" si="10">N46-O46-P46</f>
        <v>14497</v>
      </c>
      <c r="R46" s="133">
        <f>ROUNDDOWN(SUM(Q46:Q48),0)</f>
        <v>42259</v>
      </c>
      <c r="S46" s="47">
        <f t="shared" si="3"/>
        <v>2.2999999880994437E-2</v>
      </c>
      <c r="T46" s="13">
        <v>42259</v>
      </c>
    </row>
    <row r="47" spans="1:20" ht="14" thickBot="1" x14ac:dyDescent="0.35">
      <c r="A47" s="13"/>
      <c r="B47" s="48">
        <v>44593</v>
      </c>
      <c r="C47" s="49">
        <v>44593</v>
      </c>
      <c r="D47" s="49">
        <v>44620</v>
      </c>
      <c r="E47" s="50">
        <v>22177.205000000002</v>
      </c>
      <c r="F47" s="50">
        <v>30.943000000000001</v>
      </c>
      <c r="G47" s="67">
        <f t="shared" si="0"/>
        <v>22146.262000000002</v>
      </c>
      <c r="H47" s="51">
        <v>22177.199999999895</v>
      </c>
      <c r="I47" s="72">
        <v>30.950000000000159</v>
      </c>
      <c r="J47" s="60">
        <f t="shared" si="1"/>
        <v>22146.249999999894</v>
      </c>
      <c r="K47" s="60">
        <f t="shared" si="2"/>
        <v>22146.249999999894</v>
      </c>
      <c r="L47" s="137"/>
      <c r="M47" s="52">
        <f t="shared" si="4"/>
        <v>0.56120000000000003</v>
      </c>
      <c r="N47" s="53">
        <f t="shared" si="5"/>
        <v>12428</v>
      </c>
      <c r="O47" s="62">
        <v>0</v>
      </c>
      <c r="P47" s="62">
        <v>0</v>
      </c>
      <c r="Q47" s="62">
        <f t="shared" si="10"/>
        <v>12428</v>
      </c>
      <c r="R47" s="134"/>
      <c r="S47" s="54">
        <f t="shared" si="3"/>
        <v>1.2000000107946107E-2</v>
      </c>
      <c r="T47" s="13"/>
    </row>
    <row r="48" spans="1:20" ht="14" thickBot="1" x14ac:dyDescent="0.35">
      <c r="A48" s="13"/>
      <c r="B48" s="56">
        <v>44621</v>
      </c>
      <c r="C48" s="57">
        <v>44621</v>
      </c>
      <c r="D48" s="57">
        <v>44651</v>
      </c>
      <c r="E48" s="59">
        <v>27350.952000000001</v>
      </c>
      <c r="F48" s="59">
        <v>26.972999999999999</v>
      </c>
      <c r="G48" s="69">
        <f t="shared" si="0"/>
        <v>27323.978999999999</v>
      </c>
      <c r="H48" s="60">
        <v>27350.95000000007</v>
      </c>
      <c r="I48" s="73">
        <v>26.9699999999998</v>
      </c>
      <c r="J48" s="60">
        <f t="shared" si="1"/>
        <v>27323.980000000069</v>
      </c>
      <c r="K48" s="60">
        <f t="shared" si="2"/>
        <v>27323.978999999999</v>
      </c>
      <c r="L48" s="138"/>
      <c r="M48" s="61">
        <f t="shared" si="4"/>
        <v>0.56120000000000003</v>
      </c>
      <c r="N48" s="62">
        <f t="shared" si="5"/>
        <v>15334</v>
      </c>
      <c r="O48" s="62">
        <v>0</v>
      </c>
      <c r="P48" s="62">
        <v>0</v>
      </c>
      <c r="Q48" s="62">
        <f t="shared" si="10"/>
        <v>15334</v>
      </c>
      <c r="R48" s="135"/>
      <c r="S48" s="63">
        <f t="shared" si="3"/>
        <v>-1.0000000693253241E-3</v>
      </c>
      <c r="T48" s="13"/>
    </row>
    <row r="49" spans="1:21" s="79" customFormat="1" x14ac:dyDescent="0.3">
      <c r="A49" s="74"/>
      <c r="B49" s="75" t="s">
        <v>12</v>
      </c>
      <c r="C49" s="75" t="s">
        <v>86</v>
      </c>
      <c r="D49" s="75" t="s">
        <v>86</v>
      </c>
      <c r="E49" s="76">
        <f t="shared" ref="E49:L49" si="11">SUM(E14:E48)</f>
        <v>643346.36700000009</v>
      </c>
      <c r="F49" s="76">
        <f t="shared" si="11"/>
        <v>1578.6982999999998</v>
      </c>
      <c r="G49" s="76">
        <f t="shared" si="11"/>
        <v>641767.66869999992</v>
      </c>
      <c r="H49" s="76">
        <f t="shared" si="11"/>
        <v>643346.84</v>
      </c>
      <c r="I49" s="76">
        <f t="shared" si="11"/>
        <v>1578.69</v>
      </c>
      <c r="J49" s="76">
        <f t="shared" si="11"/>
        <v>641768.15</v>
      </c>
      <c r="K49" s="76">
        <f t="shared" si="11"/>
        <v>641767.39770000009</v>
      </c>
      <c r="L49" s="77">
        <f t="shared" si="11"/>
        <v>641767.39770000009</v>
      </c>
      <c r="M49" s="76"/>
      <c r="N49" s="77">
        <f>SUM(N14:N48)</f>
        <v>360143</v>
      </c>
      <c r="O49" s="77">
        <f t="shared" ref="O49:Q49" si="12">SUM(O14:O48)</f>
        <v>0</v>
      </c>
      <c r="P49" s="77">
        <f t="shared" si="12"/>
        <v>0</v>
      </c>
      <c r="Q49" s="77">
        <f t="shared" si="12"/>
        <v>360143</v>
      </c>
      <c r="R49" s="77">
        <f>SUM(R14:R48)</f>
        <v>360143</v>
      </c>
      <c r="S49" s="78">
        <f t="shared" si="3"/>
        <v>-0.4813000001013279</v>
      </c>
      <c r="T49" s="74"/>
    </row>
    <row r="50" spans="1:21" x14ac:dyDescent="0.3">
      <c r="A50" s="13"/>
      <c r="B50" s="80" t="s">
        <v>82</v>
      </c>
      <c r="C50" s="81" t="s">
        <v>86</v>
      </c>
      <c r="D50" s="81" t="s">
        <v>86</v>
      </c>
      <c r="E50" s="82">
        <f>E49/35*12</f>
        <v>220575.8972571429</v>
      </c>
      <c r="F50" s="82">
        <f t="shared" ref="F50:G50" si="13">F49/35*12</f>
        <v>541.26798857142853</v>
      </c>
      <c r="G50" s="82">
        <f t="shared" si="13"/>
        <v>220034.62926857141</v>
      </c>
      <c r="H50" s="82"/>
      <c r="I50" s="82"/>
      <c r="J50" s="83">
        <f>AVERAGE(J14:J48)</f>
        <v>18336.232857142859</v>
      </c>
      <c r="K50" s="84" t="s">
        <v>86</v>
      </c>
      <c r="L50" s="84" t="s">
        <v>86</v>
      </c>
      <c r="M50" s="84" t="s">
        <v>86</v>
      </c>
      <c r="N50" s="85">
        <f>AVERAGE(N14:N48)</f>
        <v>10289.799999999999</v>
      </c>
      <c r="O50" s="85"/>
      <c r="P50" s="85"/>
      <c r="Q50" s="85"/>
      <c r="R50" s="84" t="s">
        <v>86</v>
      </c>
      <c r="S50" s="84">
        <f t="shared" si="3"/>
        <v>201698.39641142855</v>
      </c>
      <c r="T50" s="13"/>
      <c r="U50" s="13"/>
    </row>
    <row r="51" spans="1:21" x14ac:dyDescent="0.3">
      <c r="B51" s="86"/>
    </row>
  </sheetData>
  <mergeCells count="8">
    <mergeCell ref="R46:R48"/>
    <mergeCell ref="L46:L48"/>
    <mergeCell ref="R14:R21"/>
    <mergeCell ref="R22:R33"/>
    <mergeCell ref="L14:L21"/>
    <mergeCell ref="L22:L33"/>
    <mergeCell ref="R34:R45"/>
    <mergeCell ref="L34:L4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1155-4864-4476-8023-22EFAB863A35}">
  <dimension ref="B2:E14"/>
  <sheetViews>
    <sheetView workbookViewId="0">
      <selection activeCell="B12" sqref="B12"/>
    </sheetView>
  </sheetViews>
  <sheetFormatPr defaultColWidth="8.81640625" defaultRowHeight="13.5" x14ac:dyDescent="0.3"/>
  <cols>
    <col min="1" max="1" width="8.81640625" style="1"/>
    <col min="2" max="2" width="25.81640625" style="1" customWidth="1"/>
    <col min="3" max="3" width="16.08984375" style="1" customWidth="1"/>
    <col min="4" max="4" width="32.08984375" style="1" customWidth="1"/>
    <col min="5" max="5" width="15" style="1" customWidth="1"/>
    <col min="6" max="12" width="8.81640625" style="1"/>
    <col min="13" max="13" width="15.36328125" style="1" customWidth="1"/>
    <col min="14" max="16384" width="8.81640625" style="1"/>
  </cols>
  <sheetData>
    <row r="2" spans="2:5" ht="54" x14ac:dyDescent="0.3">
      <c r="B2" s="2" t="s">
        <v>78</v>
      </c>
      <c r="C2" s="3">
        <v>182802.6</v>
      </c>
      <c r="D2" s="104" t="s">
        <v>80</v>
      </c>
    </row>
    <row r="3" spans="2:5" ht="54" x14ac:dyDescent="0.3">
      <c r="B3" s="2" t="s">
        <v>79</v>
      </c>
      <c r="C3" s="4">
        <f>7987*10^6</f>
        <v>7987000000</v>
      </c>
      <c r="D3" s="104" t="s">
        <v>81</v>
      </c>
    </row>
    <row r="4" spans="2:5" ht="40.5" x14ac:dyDescent="0.3">
      <c r="B4" s="2" t="s">
        <v>75</v>
      </c>
      <c r="C4" s="3">
        <f>C3/C2</f>
        <v>43691.938736101125</v>
      </c>
      <c r="D4" s="5" t="s">
        <v>76</v>
      </c>
    </row>
    <row r="5" spans="2:5" ht="27" x14ac:dyDescent="0.3">
      <c r="B5" s="2" t="s">
        <v>83</v>
      </c>
      <c r="C5" s="103">
        <f>'SDG13-Emission Reduction'!L49/1000</f>
        <v>641.76739770000006</v>
      </c>
      <c r="D5" s="5" t="s">
        <v>77</v>
      </c>
    </row>
    <row r="6" spans="2:5" ht="27" x14ac:dyDescent="0.3">
      <c r="B6" s="2" t="s">
        <v>93</v>
      </c>
      <c r="C6" s="4">
        <f>C4*C5</f>
        <v>28040061.82313545</v>
      </c>
      <c r="D6" s="5" t="s">
        <v>76</v>
      </c>
    </row>
    <row r="7" spans="2:5" ht="40.5" x14ac:dyDescent="0.3">
      <c r="B7" s="2" t="s">
        <v>94</v>
      </c>
      <c r="C7" s="6">
        <f>C6/10^6</f>
        <v>28.040061823135449</v>
      </c>
      <c r="D7" s="5" t="s">
        <v>76</v>
      </c>
    </row>
    <row r="8" spans="2:5" x14ac:dyDescent="0.3">
      <c r="B8" s="7"/>
    </row>
    <row r="9" spans="2:5" ht="54" x14ac:dyDescent="0.3">
      <c r="B9" s="2"/>
      <c r="C9" s="11" t="s">
        <v>96</v>
      </c>
      <c r="D9" s="12" t="s">
        <v>101</v>
      </c>
      <c r="E9" s="12" t="s">
        <v>102</v>
      </c>
    </row>
    <row r="10" spans="2:5" x14ac:dyDescent="0.3">
      <c r="B10" s="8" t="s">
        <v>97</v>
      </c>
      <c r="C10" s="6">
        <f>SUM('SDG13-Emission Reduction'!K14:K21)/1000</f>
        <v>129.22538570000003</v>
      </c>
      <c r="D10" s="9">
        <f>C10*$C$4</f>
        <v>5646107.6351534398</v>
      </c>
      <c r="E10" s="10">
        <f>D10/10^6</f>
        <v>5.6461076351534398</v>
      </c>
    </row>
    <row r="11" spans="2:5" x14ac:dyDescent="0.3">
      <c r="B11" s="129" t="s">
        <v>167</v>
      </c>
      <c r="C11" s="6">
        <f>SUM('SDG13-Emission Reduction'!K22:K33)/1000</f>
        <v>221.74062800000002</v>
      </c>
      <c r="D11" s="9">
        <f t="shared" ref="D11:D13" si="0">C11*$C$4</f>
        <v>9688277.9338805899</v>
      </c>
      <c r="E11" s="10">
        <f t="shared" ref="E11:E13" si="1">D11/10^6</f>
        <v>9.68827793388059</v>
      </c>
    </row>
    <row r="12" spans="2:5" x14ac:dyDescent="0.3">
      <c r="B12" s="130" t="s">
        <v>168</v>
      </c>
      <c r="C12" s="6">
        <f>SUM('SDG13-Emission Reduction'!K34:K45)/1000</f>
        <v>215.49815500000003</v>
      </c>
      <c r="D12" s="9">
        <f t="shared" si="0"/>
        <v>9415532.1860028263</v>
      </c>
      <c r="E12" s="10">
        <f t="shared" si="1"/>
        <v>9.4155321860028263</v>
      </c>
    </row>
    <row r="13" spans="2:5" x14ac:dyDescent="0.3">
      <c r="B13" s="8" t="s">
        <v>100</v>
      </c>
      <c r="C13" s="6">
        <f>SUM('SDG13-Emission Reduction'!K46:K48)/1000</f>
        <v>75.303229000000016</v>
      </c>
      <c r="D13" s="9">
        <f t="shared" si="0"/>
        <v>3290144.0680985944</v>
      </c>
      <c r="E13" s="10">
        <f t="shared" si="1"/>
        <v>3.2901440680985945</v>
      </c>
    </row>
    <row r="14" spans="2:5" x14ac:dyDescent="0.3">
      <c r="D14" s="106">
        <f>SUM(D10:D13)</f>
        <v>28040061.823135447</v>
      </c>
      <c r="E14" s="105">
        <f>SUM(E10:E13)</f>
        <v>28.040061823135449</v>
      </c>
    </row>
  </sheetData>
  <hyperlinks>
    <hyperlink ref="D2" r:id="rId1" xr:uid="{ED9E50D8-C1A1-4CB6-9300-C92418EF0B58}"/>
    <hyperlink ref="D3" r:id="rId2" xr:uid="{0BCBEFBC-D4D9-4CC1-8448-6A1CBE0756B5}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0D1C2-3716-45C2-B618-9065F55C7F93}">
  <dimension ref="B2:S43"/>
  <sheetViews>
    <sheetView tabSelected="1" topLeftCell="A12" zoomScale="106" zoomScaleNormal="106" workbookViewId="0">
      <selection activeCell="R17" sqref="R17"/>
    </sheetView>
  </sheetViews>
  <sheetFormatPr defaultColWidth="12" defaultRowHeight="13.5" x14ac:dyDescent="0.3"/>
  <cols>
    <col min="1" max="1" width="12" style="14"/>
    <col min="2" max="2" width="14.36328125" style="14" customWidth="1"/>
    <col min="3" max="4" width="12.54296875" style="14" bestFit="1" customWidth="1"/>
    <col min="5" max="5" width="13.81640625" style="14" customWidth="1"/>
    <col min="6" max="6" width="12" style="14"/>
    <col min="7" max="7" width="16.54296875" style="14" customWidth="1"/>
    <col min="8" max="8" width="13.81640625" style="14" customWidth="1"/>
    <col min="9" max="9" width="12" style="14"/>
    <col min="10" max="10" width="13.90625" style="14" customWidth="1"/>
    <col min="11" max="11" width="18.1796875" style="14" customWidth="1"/>
    <col min="12" max="17" width="12" style="14"/>
    <col min="18" max="18" width="14.6328125" style="14" bestFit="1" customWidth="1"/>
    <col min="19" max="16384" width="12" style="14"/>
  </cols>
  <sheetData>
    <row r="2" spans="2:19" x14ac:dyDescent="0.3">
      <c r="B2" s="87" t="s">
        <v>3</v>
      </c>
      <c r="C2" s="87"/>
      <c r="D2" s="87"/>
      <c r="E2" s="87"/>
      <c r="F2" s="87"/>
      <c r="G2" s="88">
        <f>K41</f>
        <v>641767.39770000009</v>
      </c>
      <c r="H2" s="26"/>
      <c r="I2" s="26"/>
      <c r="J2" s="20"/>
      <c r="K2" s="20"/>
      <c r="L2" s="13"/>
      <c r="M2" s="13"/>
    </row>
    <row r="3" spans="2:19" x14ac:dyDescent="0.3">
      <c r="B3" s="20"/>
      <c r="C3" s="20"/>
      <c r="D3" s="20"/>
      <c r="E3" s="20"/>
      <c r="F3" s="20"/>
      <c r="G3" s="20"/>
      <c r="H3" s="20"/>
      <c r="I3" s="20"/>
      <c r="J3" s="20"/>
      <c r="K3" s="20"/>
      <c r="L3" s="13"/>
      <c r="M3" s="13"/>
    </row>
    <row r="4" spans="2:19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13"/>
      <c r="M4" s="13"/>
    </row>
    <row r="5" spans="2:19" s="92" customFormat="1" ht="108.5" thickBot="1" x14ac:dyDescent="0.4">
      <c r="B5" s="89" t="s">
        <v>6</v>
      </c>
      <c r="C5" s="89" t="s">
        <v>7</v>
      </c>
      <c r="D5" s="89" t="s">
        <v>8</v>
      </c>
      <c r="E5" s="90" t="s">
        <v>68</v>
      </c>
      <c r="F5" s="90" t="s">
        <v>69</v>
      </c>
      <c r="G5" s="90" t="s">
        <v>70</v>
      </c>
      <c r="H5" s="90" t="s">
        <v>87</v>
      </c>
      <c r="I5" s="90" t="s">
        <v>88</v>
      </c>
      <c r="J5" s="90" t="s">
        <v>84</v>
      </c>
      <c r="K5" s="90" t="s">
        <v>104</v>
      </c>
      <c r="L5" s="91"/>
    </row>
    <row r="6" spans="2:19" x14ac:dyDescent="0.3">
      <c r="B6" s="41">
        <v>43586</v>
      </c>
      <c r="C6" s="42" t="s">
        <v>17</v>
      </c>
      <c r="D6" s="42" t="s">
        <v>35</v>
      </c>
      <c r="E6" s="43">
        <v>14224.468000000001</v>
      </c>
      <c r="F6" s="43">
        <v>40.898000000000003</v>
      </c>
      <c r="G6" s="43">
        <f t="shared" ref="G6:G40" si="0">E6-F6</f>
        <v>14183.570000000002</v>
      </c>
      <c r="H6" s="43">
        <v>14224.450000000041</v>
      </c>
      <c r="I6" s="43">
        <v>40.88999999999993</v>
      </c>
      <c r="J6" s="44">
        <f t="shared" ref="J6:J40" si="1">H6-I6</f>
        <v>14183.560000000041</v>
      </c>
      <c r="K6" s="44">
        <f t="shared" ref="K6:K40" si="2">MIN(G6,J6)</f>
        <v>14183.560000000041</v>
      </c>
      <c r="L6" s="13"/>
      <c r="M6" s="14" t="s">
        <v>160</v>
      </c>
      <c r="R6" s="127">
        <v>207200</v>
      </c>
      <c r="S6" s="14" t="s">
        <v>161</v>
      </c>
    </row>
    <row r="7" spans="2:19" x14ac:dyDescent="0.3">
      <c r="B7" s="48">
        <v>43617</v>
      </c>
      <c r="C7" s="49" t="s">
        <v>19</v>
      </c>
      <c r="D7" s="49" t="s">
        <v>36</v>
      </c>
      <c r="E7" s="50">
        <v>17694.78</v>
      </c>
      <c r="F7" s="50">
        <v>27.039300000000001</v>
      </c>
      <c r="G7" s="50">
        <f t="shared" si="0"/>
        <v>17667.740699999998</v>
      </c>
      <c r="H7" s="50">
        <v>17694.789999999979</v>
      </c>
      <c r="I7" s="50">
        <v>27.04000000000002</v>
      </c>
      <c r="J7" s="51">
        <f t="shared" si="1"/>
        <v>17667.749999999978</v>
      </c>
      <c r="K7" s="51">
        <f t="shared" si="2"/>
        <v>17667.740699999998</v>
      </c>
      <c r="L7" s="13"/>
      <c r="M7" s="14" t="s">
        <v>162</v>
      </c>
      <c r="R7" s="14">
        <v>8260.4989999999998</v>
      </c>
      <c r="S7" s="14" t="s">
        <v>163</v>
      </c>
    </row>
    <row r="8" spans="2:19" x14ac:dyDescent="0.3">
      <c r="B8" s="48">
        <v>43647</v>
      </c>
      <c r="C8" s="49">
        <v>43647</v>
      </c>
      <c r="D8" s="49" t="s">
        <v>37</v>
      </c>
      <c r="E8" s="50">
        <v>8888.6239999999998</v>
      </c>
      <c r="F8" s="50">
        <v>74.319000000000003</v>
      </c>
      <c r="G8" s="50">
        <f t="shared" si="0"/>
        <v>8814.3050000000003</v>
      </c>
      <c r="H8" s="50">
        <v>8888.6299999999756</v>
      </c>
      <c r="I8" s="50">
        <v>74.310000000000059</v>
      </c>
      <c r="J8" s="51">
        <f t="shared" si="1"/>
        <v>8814.3199999999761</v>
      </c>
      <c r="K8" s="51">
        <f t="shared" si="2"/>
        <v>8814.3050000000003</v>
      </c>
      <c r="L8" s="13"/>
    </row>
    <row r="9" spans="2:19" x14ac:dyDescent="0.3">
      <c r="B9" s="48">
        <v>43678</v>
      </c>
      <c r="C9" s="49" t="s">
        <v>13</v>
      </c>
      <c r="D9" s="49" t="s">
        <v>38</v>
      </c>
      <c r="E9" s="55">
        <v>19158.218000000001</v>
      </c>
      <c r="F9" s="55">
        <v>33.957999999999998</v>
      </c>
      <c r="G9" s="50">
        <f t="shared" si="0"/>
        <v>19124.260000000002</v>
      </c>
      <c r="H9" s="50">
        <v>19158.20000000007</v>
      </c>
      <c r="I9" s="50">
        <v>33.960000000000036</v>
      </c>
      <c r="J9" s="51">
        <f t="shared" si="1"/>
        <v>19124.240000000071</v>
      </c>
      <c r="K9" s="51">
        <f t="shared" si="2"/>
        <v>19124.240000000071</v>
      </c>
      <c r="L9" s="13"/>
      <c r="M9" s="14" t="s">
        <v>164</v>
      </c>
      <c r="R9" s="128">
        <f>R7/R6</f>
        <v>3.9867273166023162E-2</v>
      </c>
      <c r="S9" s="14" t="s">
        <v>165</v>
      </c>
    </row>
    <row r="10" spans="2:19" x14ac:dyDescent="0.3">
      <c r="B10" s="48">
        <v>43709</v>
      </c>
      <c r="C10" s="49" t="s">
        <v>14</v>
      </c>
      <c r="D10" s="49" t="s">
        <v>39</v>
      </c>
      <c r="E10" s="55">
        <v>17894.777999999998</v>
      </c>
      <c r="F10" s="55">
        <v>33.167000000000002</v>
      </c>
      <c r="G10" s="50">
        <f t="shared" si="0"/>
        <v>17861.610999999997</v>
      </c>
      <c r="H10" s="50">
        <v>17894.78999999995</v>
      </c>
      <c r="I10" s="50">
        <v>33.17999999999995</v>
      </c>
      <c r="J10" s="51">
        <f t="shared" si="1"/>
        <v>17861.60999999995</v>
      </c>
      <c r="K10" s="51">
        <f t="shared" si="2"/>
        <v>17861.60999999995</v>
      </c>
      <c r="L10" s="13"/>
      <c r="M10" s="14" t="s">
        <v>166</v>
      </c>
      <c r="R10" s="128">
        <f>R9*'SDG13-Emission Reduction'!G9</f>
        <v>14357.919359831079</v>
      </c>
      <c r="S10" s="14" t="s">
        <v>165</v>
      </c>
    </row>
    <row r="11" spans="2:19" x14ac:dyDescent="0.3">
      <c r="B11" s="48">
        <v>43739</v>
      </c>
      <c r="C11" s="49" t="s">
        <v>21</v>
      </c>
      <c r="D11" s="49" t="s">
        <v>40</v>
      </c>
      <c r="E11" s="55">
        <v>8458.509</v>
      </c>
      <c r="F11" s="55">
        <v>111.896</v>
      </c>
      <c r="G11" s="50">
        <f t="shared" si="0"/>
        <v>8346.6129999999994</v>
      </c>
      <c r="H11" s="50">
        <v>8458.5</v>
      </c>
      <c r="I11" s="50">
        <v>111.88999999999999</v>
      </c>
      <c r="J11" s="51">
        <f t="shared" si="1"/>
        <v>8346.61</v>
      </c>
      <c r="K11" s="51">
        <f t="shared" si="2"/>
        <v>8346.61</v>
      </c>
      <c r="L11" s="13"/>
    </row>
    <row r="12" spans="2:19" x14ac:dyDescent="0.3">
      <c r="B12" s="48">
        <v>43770</v>
      </c>
      <c r="C12" s="49" t="s">
        <v>22</v>
      </c>
      <c r="D12" s="49" t="s">
        <v>41</v>
      </c>
      <c r="E12" s="55">
        <v>21405.115000000002</v>
      </c>
      <c r="F12" s="55">
        <v>24.74</v>
      </c>
      <c r="G12" s="50">
        <f t="shared" si="0"/>
        <v>21380.375</v>
      </c>
      <c r="H12" s="50">
        <v>21405.109999999986</v>
      </c>
      <c r="I12" s="50">
        <v>24.740000000000066</v>
      </c>
      <c r="J12" s="51">
        <f t="shared" si="1"/>
        <v>21380.369999999984</v>
      </c>
      <c r="K12" s="51">
        <f t="shared" si="2"/>
        <v>21380.369999999984</v>
      </c>
      <c r="L12" s="13"/>
    </row>
    <row r="13" spans="2:19" ht="14" thickBot="1" x14ac:dyDescent="0.35">
      <c r="B13" s="56">
        <v>43800</v>
      </c>
      <c r="C13" s="57" t="s">
        <v>23</v>
      </c>
      <c r="D13" s="57" t="s">
        <v>42</v>
      </c>
      <c r="E13" s="58">
        <v>21867.117999999999</v>
      </c>
      <c r="F13" s="58">
        <v>20.167999999999999</v>
      </c>
      <c r="G13" s="59">
        <f t="shared" si="0"/>
        <v>21846.949999999997</v>
      </c>
      <c r="H13" s="59">
        <v>21867.140000000014</v>
      </c>
      <c r="I13" s="59">
        <v>20.169999999999959</v>
      </c>
      <c r="J13" s="60">
        <f t="shared" si="1"/>
        <v>21846.970000000016</v>
      </c>
      <c r="K13" s="60">
        <f t="shared" si="2"/>
        <v>21846.949999999997</v>
      </c>
      <c r="L13" s="13"/>
    </row>
    <row r="14" spans="2:19" x14ac:dyDescent="0.3">
      <c r="B14" s="41">
        <v>43831</v>
      </c>
      <c r="C14" s="42" t="s">
        <v>24</v>
      </c>
      <c r="D14" s="42" t="s">
        <v>43</v>
      </c>
      <c r="E14" s="64">
        <v>21453.474999999999</v>
      </c>
      <c r="F14" s="64">
        <v>46.613</v>
      </c>
      <c r="G14" s="43">
        <f t="shared" si="0"/>
        <v>21406.861999999997</v>
      </c>
      <c r="H14" s="43">
        <v>21453.459999999963</v>
      </c>
      <c r="I14" s="43">
        <v>46.609999999999957</v>
      </c>
      <c r="J14" s="44">
        <f t="shared" si="1"/>
        <v>21406.849999999962</v>
      </c>
      <c r="K14" s="44">
        <f t="shared" si="2"/>
        <v>21406.849999999962</v>
      </c>
      <c r="L14" s="13"/>
    </row>
    <row r="15" spans="2:19" x14ac:dyDescent="0.3">
      <c r="B15" s="48">
        <v>43862</v>
      </c>
      <c r="C15" s="49" t="s">
        <v>25</v>
      </c>
      <c r="D15" s="49" t="s">
        <v>44</v>
      </c>
      <c r="E15" s="55">
        <v>23279.039000000001</v>
      </c>
      <c r="F15" s="55">
        <v>33.658000000000001</v>
      </c>
      <c r="G15" s="50">
        <f t="shared" si="0"/>
        <v>23245.381000000001</v>
      </c>
      <c r="H15" s="50">
        <v>23279.050000000017</v>
      </c>
      <c r="I15" s="50">
        <v>33.659999999999968</v>
      </c>
      <c r="J15" s="51">
        <f t="shared" si="1"/>
        <v>23245.390000000018</v>
      </c>
      <c r="K15" s="51">
        <f t="shared" si="2"/>
        <v>23245.381000000001</v>
      </c>
      <c r="L15" s="13"/>
    </row>
    <row r="16" spans="2:19" x14ac:dyDescent="0.3">
      <c r="B16" s="48">
        <v>43891</v>
      </c>
      <c r="C16" s="49" t="s">
        <v>26</v>
      </c>
      <c r="D16" s="49" t="s">
        <v>45</v>
      </c>
      <c r="E16" s="55">
        <v>25866.666000000001</v>
      </c>
      <c r="F16" s="55">
        <v>29.091999999999999</v>
      </c>
      <c r="G16" s="50">
        <f t="shared" si="0"/>
        <v>25837.574000000001</v>
      </c>
      <c r="H16" s="50">
        <v>25866.650000000052</v>
      </c>
      <c r="I16" s="50">
        <v>29.080000000000041</v>
      </c>
      <c r="J16" s="51">
        <f t="shared" si="1"/>
        <v>25837.570000000051</v>
      </c>
      <c r="K16" s="51">
        <f t="shared" si="2"/>
        <v>25837.570000000051</v>
      </c>
      <c r="L16" s="13"/>
    </row>
    <row r="17" spans="2:12" x14ac:dyDescent="0.3">
      <c r="B17" s="48">
        <v>43922</v>
      </c>
      <c r="C17" s="49" t="s">
        <v>20</v>
      </c>
      <c r="D17" s="49" t="s">
        <v>46</v>
      </c>
      <c r="E17" s="55">
        <v>20114.448</v>
      </c>
      <c r="F17" s="55">
        <v>28.576000000000001</v>
      </c>
      <c r="G17" s="50">
        <f t="shared" si="0"/>
        <v>20085.871999999999</v>
      </c>
      <c r="H17" s="50">
        <v>20114.469999999968</v>
      </c>
      <c r="I17" s="50">
        <v>28.590000000000032</v>
      </c>
      <c r="J17" s="51">
        <f t="shared" si="1"/>
        <v>20085.879999999968</v>
      </c>
      <c r="K17" s="51">
        <f t="shared" si="2"/>
        <v>20085.871999999999</v>
      </c>
      <c r="L17" s="13"/>
    </row>
    <row r="18" spans="2:12" x14ac:dyDescent="0.3">
      <c r="B18" s="48">
        <v>43952</v>
      </c>
      <c r="C18" s="49" t="s">
        <v>18</v>
      </c>
      <c r="D18" s="49" t="s">
        <v>47</v>
      </c>
      <c r="E18" s="55">
        <v>16979.330000000002</v>
      </c>
      <c r="F18" s="55">
        <v>42.131</v>
      </c>
      <c r="G18" s="50">
        <f t="shared" si="0"/>
        <v>16937.199000000001</v>
      </c>
      <c r="H18" s="50">
        <v>16979.320000000007</v>
      </c>
      <c r="I18" s="50">
        <v>42.120000000000005</v>
      </c>
      <c r="J18" s="51">
        <f t="shared" si="1"/>
        <v>16937.200000000008</v>
      </c>
      <c r="K18" s="51">
        <f t="shared" si="2"/>
        <v>16937.199000000001</v>
      </c>
      <c r="L18" s="13"/>
    </row>
    <row r="19" spans="2:12" x14ac:dyDescent="0.3">
      <c r="B19" s="48">
        <v>43983</v>
      </c>
      <c r="C19" s="49" t="s">
        <v>27</v>
      </c>
      <c r="D19" s="49" t="s">
        <v>48</v>
      </c>
      <c r="E19" s="55">
        <v>9940.92</v>
      </c>
      <c r="F19" s="55">
        <v>82.26</v>
      </c>
      <c r="G19" s="50">
        <f t="shared" si="0"/>
        <v>9858.66</v>
      </c>
      <c r="H19" s="50">
        <v>9940.9099999999871</v>
      </c>
      <c r="I19" s="50">
        <v>82.269999999999897</v>
      </c>
      <c r="J19" s="51">
        <f t="shared" si="1"/>
        <v>9858.6399999999867</v>
      </c>
      <c r="K19" s="51">
        <f t="shared" si="2"/>
        <v>9858.6399999999867</v>
      </c>
      <c r="L19" s="13"/>
    </row>
    <row r="20" spans="2:12" x14ac:dyDescent="0.3">
      <c r="B20" s="48">
        <v>44013</v>
      </c>
      <c r="C20" s="49" t="s">
        <v>28</v>
      </c>
      <c r="D20" s="49" t="s">
        <v>49</v>
      </c>
      <c r="E20" s="55">
        <v>14699.626</v>
      </c>
      <c r="F20" s="55">
        <v>28.241</v>
      </c>
      <c r="G20" s="50">
        <f t="shared" si="0"/>
        <v>14671.385</v>
      </c>
      <c r="H20" s="50">
        <v>14699.629999999976</v>
      </c>
      <c r="I20" s="50">
        <v>28.240000000000123</v>
      </c>
      <c r="J20" s="51">
        <f t="shared" si="1"/>
        <v>14671.389999999976</v>
      </c>
      <c r="K20" s="51">
        <f t="shared" si="2"/>
        <v>14671.385</v>
      </c>
      <c r="L20" s="13"/>
    </row>
    <row r="21" spans="2:12" x14ac:dyDescent="0.3">
      <c r="B21" s="48">
        <v>44044</v>
      </c>
      <c r="C21" s="49" t="s">
        <v>15</v>
      </c>
      <c r="D21" s="49" t="s">
        <v>50</v>
      </c>
      <c r="E21" s="55">
        <v>12953.567999999999</v>
      </c>
      <c r="F21" s="55">
        <v>51.712000000000003</v>
      </c>
      <c r="G21" s="50">
        <f t="shared" si="0"/>
        <v>12901.856</v>
      </c>
      <c r="H21" s="50">
        <v>12953.570000000036</v>
      </c>
      <c r="I21" s="50">
        <v>51.710000000000036</v>
      </c>
      <c r="J21" s="51">
        <f t="shared" si="1"/>
        <v>12901.860000000037</v>
      </c>
      <c r="K21" s="51">
        <f t="shared" si="2"/>
        <v>12901.856</v>
      </c>
      <c r="L21" s="13"/>
    </row>
    <row r="22" spans="2:12" x14ac:dyDescent="0.3">
      <c r="B22" s="48">
        <v>44075</v>
      </c>
      <c r="C22" s="49" t="s">
        <v>16</v>
      </c>
      <c r="D22" s="49" t="s">
        <v>51</v>
      </c>
      <c r="E22" s="55">
        <v>20798.612000000001</v>
      </c>
      <c r="F22" s="55">
        <v>28.876999999999999</v>
      </c>
      <c r="G22" s="50">
        <f t="shared" si="0"/>
        <v>20769.735000000001</v>
      </c>
      <c r="H22" s="50">
        <v>20798.609999999986</v>
      </c>
      <c r="I22" s="50">
        <v>28.879999999999885</v>
      </c>
      <c r="J22" s="51">
        <f t="shared" si="1"/>
        <v>20769.729999999985</v>
      </c>
      <c r="K22" s="51">
        <f t="shared" si="2"/>
        <v>20769.729999999985</v>
      </c>
      <c r="L22" s="13"/>
    </row>
    <row r="23" spans="2:12" x14ac:dyDescent="0.3">
      <c r="B23" s="48">
        <v>44105</v>
      </c>
      <c r="C23" s="49" t="s">
        <v>29</v>
      </c>
      <c r="D23" s="49" t="s">
        <v>52</v>
      </c>
      <c r="E23" s="55">
        <v>15285.659</v>
      </c>
      <c r="F23" s="55">
        <v>48.820999999999998</v>
      </c>
      <c r="G23" s="50">
        <f t="shared" si="0"/>
        <v>15236.838</v>
      </c>
      <c r="H23" s="50">
        <v>15285.660000000034</v>
      </c>
      <c r="I23" s="50">
        <v>48.829999999999984</v>
      </c>
      <c r="J23" s="51">
        <f t="shared" si="1"/>
        <v>15236.830000000034</v>
      </c>
      <c r="K23" s="51">
        <f t="shared" si="2"/>
        <v>15236.830000000034</v>
      </c>
      <c r="L23" s="13"/>
    </row>
    <row r="24" spans="2:12" x14ac:dyDescent="0.3">
      <c r="B24" s="48">
        <v>44136</v>
      </c>
      <c r="C24" s="49" t="s">
        <v>30</v>
      </c>
      <c r="D24" s="49" t="s">
        <v>53</v>
      </c>
      <c r="E24" s="55">
        <v>19138.794999999998</v>
      </c>
      <c r="F24" s="55">
        <v>48.415999999999997</v>
      </c>
      <c r="G24" s="50">
        <f t="shared" si="0"/>
        <v>19090.378999999997</v>
      </c>
      <c r="H24" s="50">
        <v>19138.78999999995</v>
      </c>
      <c r="I24" s="50">
        <v>48.409999999999968</v>
      </c>
      <c r="J24" s="51">
        <f t="shared" si="1"/>
        <v>19090.37999999995</v>
      </c>
      <c r="K24" s="51">
        <f t="shared" si="2"/>
        <v>19090.378999999997</v>
      </c>
      <c r="L24" s="13"/>
    </row>
    <row r="25" spans="2:12" ht="14" thickBot="1" x14ac:dyDescent="0.35">
      <c r="B25" s="56">
        <v>44166</v>
      </c>
      <c r="C25" s="57" t="s">
        <v>31</v>
      </c>
      <c r="D25" s="57" t="s">
        <v>54</v>
      </c>
      <c r="E25" s="58">
        <v>21747.879000000001</v>
      </c>
      <c r="F25" s="58">
        <v>48.942999999999998</v>
      </c>
      <c r="G25" s="59">
        <f t="shared" si="0"/>
        <v>21698.936000000002</v>
      </c>
      <c r="H25" s="59">
        <v>21747.880000000005</v>
      </c>
      <c r="I25" s="59">
        <v>48.940000000000111</v>
      </c>
      <c r="J25" s="60">
        <f t="shared" si="1"/>
        <v>21698.940000000006</v>
      </c>
      <c r="K25" s="60">
        <f t="shared" si="2"/>
        <v>21698.936000000002</v>
      </c>
      <c r="L25" s="13"/>
    </row>
    <row r="26" spans="2:12" x14ac:dyDescent="0.3">
      <c r="B26" s="41">
        <v>44197</v>
      </c>
      <c r="C26" s="42" t="s">
        <v>34</v>
      </c>
      <c r="D26" s="42" t="s">
        <v>55</v>
      </c>
      <c r="E26" s="64">
        <v>26558.242999999999</v>
      </c>
      <c r="F26" s="64">
        <v>16.004999999999999</v>
      </c>
      <c r="G26" s="43">
        <f t="shared" si="0"/>
        <v>26542.237999999998</v>
      </c>
      <c r="H26" s="43">
        <v>26558.250000000029</v>
      </c>
      <c r="I26" s="43">
        <v>15.999999999999943</v>
      </c>
      <c r="J26" s="44">
        <f t="shared" si="1"/>
        <v>26542.250000000029</v>
      </c>
      <c r="K26" s="44">
        <f t="shared" si="2"/>
        <v>26542.237999999998</v>
      </c>
      <c r="L26" s="13"/>
    </row>
    <row r="27" spans="2:12" x14ac:dyDescent="0.3">
      <c r="B27" s="48">
        <v>44228</v>
      </c>
      <c r="C27" s="49" t="s">
        <v>32</v>
      </c>
      <c r="D27" s="49" t="s">
        <v>63</v>
      </c>
      <c r="E27" s="55">
        <v>19151.238000000001</v>
      </c>
      <c r="F27" s="55">
        <v>46.093000000000004</v>
      </c>
      <c r="G27" s="50">
        <f t="shared" si="0"/>
        <v>19105.145</v>
      </c>
      <c r="H27" s="50">
        <v>19151.259999999951</v>
      </c>
      <c r="I27" s="50">
        <v>46.100000000000023</v>
      </c>
      <c r="J27" s="51">
        <f t="shared" si="1"/>
        <v>19105.159999999953</v>
      </c>
      <c r="K27" s="51">
        <f t="shared" si="2"/>
        <v>19105.145</v>
      </c>
      <c r="L27" s="13"/>
    </row>
    <row r="28" spans="2:12" x14ac:dyDescent="0.3">
      <c r="B28" s="48">
        <v>44256</v>
      </c>
      <c r="C28" s="49" t="s">
        <v>33</v>
      </c>
      <c r="D28" s="49" t="s">
        <v>64</v>
      </c>
      <c r="E28" s="55">
        <v>18564.066999999999</v>
      </c>
      <c r="F28" s="55">
        <v>40.982999999999997</v>
      </c>
      <c r="G28" s="50">
        <f t="shared" si="0"/>
        <v>18523.083999999999</v>
      </c>
      <c r="H28" s="50">
        <v>18564.050000000076</v>
      </c>
      <c r="I28" s="50">
        <v>40.96999999999997</v>
      </c>
      <c r="J28" s="51">
        <f t="shared" si="1"/>
        <v>18523.080000000075</v>
      </c>
      <c r="K28" s="51">
        <f t="shared" si="2"/>
        <v>18523.080000000075</v>
      </c>
      <c r="L28" s="13"/>
    </row>
    <row r="29" spans="2:12" x14ac:dyDescent="0.3">
      <c r="B29" s="48">
        <v>44287</v>
      </c>
      <c r="C29" s="49" t="s">
        <v>56</v>
      </c>
      <c r="D29" s="49" t="s">
        <v>65</v>
      </c>
      <c r="E29" s="55">
        <v>12528.216</v>
      </c>
      <c r="F29" s="66">
        <v>64.260000000000005</v>
      </c>
      <c r="G29" s="67">
        <f t="shared" si="0"/>
        <v>12463.956</v>
      </c>
      <c r="H29" s="51">
        <v>12528.209999999934</v>
      </c>
      <c r="I29" s="50">
        <v>64.270000000000039</v>
      </c>
      <c r="J29" s="51">
        <f t="shared" si="1"/>
        <v>12463.939999999933</v>
      </c>
      <c r="K29" s="51">
        <f t="shared" si="2"/>
        <v>12463.939999999933</v>
      </c>
      <c r="L29" s="13"/>
    </row>
    <row r="30" spans="2:12" x14ac:dyDescent="0.3">
      <c r="B30" s="48">
        <v>44317</v>
      </c>
      <c r="C30" s="49" t="s">
        <v>57</v>
      </c>
      <c r="D30" s="49" t="s">
        <v>66</v>
      </c>
      <c r="E30" s="55">
        <v>14888.624</v>
      </c>
      <c r="F30" s="66">
        <v>48.198</v>
      </c>
      <c r="G30" s="67">
        <f t="shared" si="0"/>
        <v>14840.425999999999</v>
      </c>
      <c r="H30" s="51">
        <v>14888.630000000034</v>
      </c>
      <c r="I30" s="50">
        <v>48.199999999999989</v>
      </c>
      <c r="J30" s="51">
        <f t="shared" si="1"/>
        <v>14840.430000000033</v>
      </c>
      <c r="K30" s="51">
        <f t="shared" si="2"/>
        <v>14840.425999999999</v>
      </c>
      <c r="L30" s="13"/>
    </row>
    <row r="31" spans="2:12" x14ac:dyDescent="0.3">
      <c r="B31" s="48">
        <v>44348</v>
      </c>
      <c r="C31" s="49" t="s">
        <v>58</v>
      </c>
      <c r="D31" s="49" t="s">
        <v>67</v>
      </c>
      <c r="E31" s="55">
        <v>10469.022000000001</v>
      </c>
      <c r="F31" s="66">
        <v>76.521000000000001</v>
      </c>
      <c r="G31" s="67">
        <f t="shared" si="0"/>
        <v>10392.501</v>
      </c>
      <c r="H31" s="51">
        <v>10469.510000000009</v>
      </c>
      <c r="I31" s="50">
        <v>76.520000000000095</v>
      </c>
      <c r="J31" s="51">
        <f t="shared" si="1"/>
        <v>10392.990000000009</v>
      </c>
      <c r="K31" s="51">
        <f t="shared" si="2"/>
        <v>10392.501</v>
      </c>
      <c r="L31" s="13"/>
    </row>
    <row r="32" spans="2:12" x14ac:dyDescent="0.3">
      <c r="B32" s="48">
        <v>44378</v>
      </c>
      <c r="C32" s="49" t="s">
        <v>59</v>
      </c>
      <c r="D32" s="49" t="s">
        <v>61</v>
      </c>
      <c r="E32" s="55">
        <v>16519.52</v>
      </c>
      <c r="F32" s="66">
        <v>52.494</v>
      </c>
      <c r="G32" s="67">
        <f t="shared" si="0"/>
        <v>16467.026000000002</v>
      </c>
      <c r="H32" s="51">
        <v>16519.539999999979</v>
      </c>
      <c r="I32" s="50">
        <v>52.499999999999886</v>
      </c>
      <c r="J32" s="51">
        <f t="shared" si="1"/>
        <v>16467.039999999979</v>
      </c>
      <c r="K32" s="51">
        <f t="shared" si="2"/>
        <v>16467.026000000002</v>
      </c>
      <c r="L32" s="13"/>
    </row>
    <row r="33" spans="2:13" x14ac:dyDescent="0.3">
      <c r="B33" s="48">
        <v>44409</v>
      </c>
      <c r="C33" s="49" t="s">
        <v>60</v>
      </c>
      <c r="D33" s="49" t="s">
        <v>62</v>
      </c>
      <c r="E33" s="55">
        <v>10783.154</v>
      </c>
      <c r="F33" s="66">
        <v>89.516999999999996</v>
      </c>
      <c r="G33" s="67">
        <f t="shared" si="0"/>
        <v>10693.637000000001</v>
      </c>
      <c r="H33" s="51">
        <v>10783.149999999965</v>
      </c>
      <c r="I33" s="50">
        <v>89.510000000000161</v>
      </c>
      <c r="J33" s="51">
        <f t="shared" si="1"/>
        <v>10693.639999999965</v>
      </c>
      <c r="K33" s="51">
        <f t="shared" si="2"/>
        <v>10693.637000000001</v>
      </c>
      <c r="L33" s="13"/>
    </row>
    <row r="34" spans="2:13" x14ac:dyDescent="0.3">
      <c r="B34" s="48">
        <v>44440</v>
      </c>
      <c r="C34" s="49" t="s">
        <v>71</v>
      </c>
      <c r="D34" s="49" t="s">
        <v>72</v>
      </c>
      <c r="E34" s="55">
        <v>17301.284</v>
      </c>
      <c r="F34" s="66">
        <v>46.762999999999998</v>
      </c>
      <c r="G34" s="67">
        <f t="shared" si="0"/>
        <v>17254.521000000001</v>
      </c>
      <c r="H34" s="51">
        <v>17301.270000000077</v>
      </c>
      <c r="I34" s="50">
        <v>46.769999999999989</v>
      </c>
      <c r="J34" s="51">
        <f t="shared" si="1"/>
        <v>17254.500000000076</v>
      </c>
      <c r="K34" s="51">
        <f t="shared" si="2"/>
        <v>17254.500000000076</v>
      </c>
      <c r="L34" s="13"/>
    </row>
    <row r="35" spans="2:13" x14ac:dyDescent="0.3">
      <c r="B35" s="48">
        <v>44470</v>
      </c>
      <c r="C35" s="49">
        <v>44470</v>
      </c>
      <c r="D35" s="49">
        <v>44500</v>
      </c>
      <c r="E35" s="55">
        <v>20914.669999999998</v>
      </c>
      <c r="F35" s="66">
        <v>37.536999999999999</v>
      </c>
      <c r="G35" s="67">
        <f t="shared" si="0"/>
        <v>20877.132999999998</v>
      </c>
      <c r="H35" s="51">
        <v>20914.679999999993</v>
      </c>
      <c r="I35" s="50">
        <v>37.529999999999973</v>
      </c>
      <c r="J35" s="51">
        <f t="shared" si="1"/>
        <v>20877.149999999994</v>
      </c>
      <c r="K35" s="51">
        <f t="shared" si="2"/>
        <v>20877.132999999998</v>
      </c>
      <c r="L35" s="13"/>
    </row>
    <row r="36" spans="2:13" x14ac:dyDescent="0.3">
      <c r="B36" s="48">
        <v>44501</v>
      </c>
      <c r="C36" s="49">
        <v>44501</v>
      </c>
      <c r="D36" s="49">
        <v>44530</v>
      </c>
      <c r="E36" s="55">
        <v>18743.949000000001</v>
      </c>
      <c r="F36" s="66">
        <v>69.971999999999994</v>
      </c>
      <c r="G36" s="67">
        <f t="shared" si="0"/>
        <v>18673.976999999999</v>
      </c>
      <c r="H36" s="51">
        <v>18743.839999999967</v>
      </c>
      <c r="I36" s="50">
        <v>69.970000000000027</v>
      </c>
      <c r="J36" s="51">
        <f t="shared" si="1"/>
        <v>18673.869999999966</v>
      </c>
      <c r="K36" s="51">
        <f t="shared" si="2"/>
        <v>18673.869999999966</v>
      </c>
      <c r="L36" s="13"/>
    </row>
    <row r="37" spans="2:13" ht="14" thickBot="1" x14ac:dyDescent="0.35">
      <c r="B37" s="56">
        <v>44531</v>
      </c>
      <c r="C37" s="57">
        <v>44531</v>
      </c>
      <c r="D37" s="57">
        <v>44561</v>
      </c>
      <c r="E37" s="58">
        <v>29685.941999999999</v>
      </c>
      <c r="F37" s="68">
        <v>21.283000000000001</v>
      </c>
      <c r="G37" s="69">
        <f t="shared" si="0"/>
        <v>29664.659</v>
      </c>
      <c r="H37" s="60">
        <v>29686.059999999939</v>
      </c>
      <c r="I37" s="59">
        <v>21.279999999999859</v>
      </c>
      <c r="J37" s="60">
        <f t="shared" si="1"/>
        <v>29664.779999999941</v>
      </c>
      <c r="K37" s="60">
        <f t="shared" si="2"/>
        <v>29664.659</v>
      </c>
      <c r="L37" s="13"/>
    </row>
    <row r="38" spans="2:13" ht="14" thickBot="1" x14ac:dyDescent="0.35">
      <c r="B38" s="41">
        <v>44562</v>
      </c>
      <c r="C38" s="42">
        <v>44562</v>
      </c>
      <c r="D38" s="42">
        <v>44592</v>
      </c>
      <c r="E38" s="43">
        <v>25860.653999999999</v>
      </c>
      <c r="F38" s="43">
        <v>27.631</v>
      </c>
      <c r="G38" s="70">
        <f t="shared" si="0"/>
        <v>25833.022999999997</v>
      </c>
      <c r="H38" s="44">
        <v>25860.630000000117</v>
      </c>
      <c r="I38" s="71">
        <v>27.629999999999995</v>
      </c>
      <c r="J38" s="60">
        <f t="shared" si="1"/>
        <v>25833.000000000116</v>
      </c>
      <c r="K38" s="60">
        <f t="shared" si="2"/>
        <v>25833.000000000116</v>
      </c>
      <c r="L38" s="13"/>
    </row>
    <row r="39" spans="2:13" ht="14" thickBot="1" x14ac:dyDescent="0.35">
      <c r="B39" s="48">
        <v>44593</v>
      </c>
      <c r="C39" s="49">
        <v>44593</v>
      </c>
      <c r="D39" s="49">
        <v>44620</v>
      </c>
      <c r="E39" s="50">
        <v>22177.205000000002</v>
      </c>
      <c r="F39" s="50">
        <v>30.943000000000001</v>
      </c>
      <c r="G39" s="67">
        <f t="shared" si="0"/>
        <v>22146.262000000002</v>
      </c>
      <c r="H39" s="51">
        <v>22177.199999999895</v>
      </c>
      <c r="I39" s="72">
        <v>30.950000000000159</v>
      </c>
      <c r="J39" s="60">
        <f t="shared" si="1"/>
        <v>22146.249999999894</v>
      </c>
      <c r="K39" s="60">
        <f t="shared" si="2"/>
        <v>22146.249999999894</v>
      </c>
      <c r="L39" s="13"/>
    </row>
    <row r="40" spans="2:13" ht="14" thickBot="1" x14ac:dyDescent="0.35">
      <c r="B40" s="56">
        <v>44621</v>
      </c>
      <c r="C40" s="57">
        <v>44621</v>
      </c>
      <c r="D40" s="57">
        <v>44651</v>
      </c>
      <c r="E40" s="59">
        <v>27350.952000000001</v>
      </c>
      <c r="F40" s="59">
        <v>26.972999999999999</v>
      </c>
      <c r="G40" s="69">
        <f t="shared" si="0"/>
        <v>27323.978999999999</v>
      </c>
      <c r="H40" s="60">
        <v>27350.95000000007</v>
      </c>
      <c r="I40" s="73">
        <v>26.9699999999998</v>
      </c>
      <c r="J40" s="60">
        <f t="shared" si="1"/>
        <v>27323.980000000069</v>
      </c>
      <c r="K40" s="60">
        <f t="shared" si="2"/>
        <v>27323.978999999999</v>
      </c>
      <c r="L40" s="13"/>
    </row>
    <row r="41" spans="2:13" s="79" customFormat="1" x14ac:dyDescent="0.3">
      <c r="B41" s="75" t="s">
        <v>12</v>
      </c>
      <c r="C41" s="75" t="s">
        <v>86</v>
      </c>
      <c r="D41" s="75" t="s">
        <v>86</v>
      </c>
      <c r="E41" s="76">
        <f t="shared" ref="E41:K41" si="3">SUM(E6:E40)</f>
        <v>643346.36700000009</v>
      </c>
      <c r="F41" s="76">
        <f t="shared" si="3"/>
        <v>1578.6982999999998</v>
      </c>
      <c r="G41" s="76">
        <f t="shared" si="3"/>
        <v>641767.66869999992</v>
      </c>
      <c r="H41" s="76">
        <f t="shared" si="3"/>
        <v>643346.84</v>
      </c>
      <c r="I41" s="76">
        <f t="shared" si="3"/>
        <v>1578.69</v>
      </c>
      <c r="J41" s="76">
        <f t="shared" si="3"/>
        <v>641768.15</v>
      </c>
      <c r="K41" s="76">
        <f t="shared" si="3"/>
        <v>641767.39770000009</v>
      </c>
      <c r="L41" s="74"/>
    </row>
    <row r="42" spans="2:13" x14ac:dyDescent="0.3">
      <c r="B42" s="80" t="s">
        <v>82</v>
      </c>
      <c r="C42" s="81" t="s">
        <v>86</v>
      </c>
      <c r="D42" s="81" t="s">
        <v>86</v>
      </c>
      <c r="E42" s="82">
        <f>E41/35*12</f>
        <v>220575.8972571429</v>
      </c>
      <c r="F42" s="82">
        <f t="shared" ref="F42:G42" si="4">F41/35*12</f>
        <v>541.26798857142853</v>
      </c>
      <c r="G42" s="82">
        <f t="shared" si="4"/>
        <v>220034.62926857141</v>
      </c>
      <c r="H42" s="82"/>
      <c r="I42" s="82"/>
      <c r="J42" s="83">
        <f>AVERAGE(J6:J40)</f>
        <v>18336.232857142859</v>
      </c>
      <c r="K42" s="84" t="s">
        <v>86</v>
      </c>
      <c r="L42" s="13"/>
      <c r="M42" s="13"/>
    </row>
    <row r="43" spans="2:13" x14ac:dyDescent="0.3">
      <c r="B43" s="8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0E7BE-1A59-4E8E-8BF4-C09445F9F650}">
  <dimension ref="B2:M15"/>
  <sheetViews>
    <sheetView workbookViewId="0">
      <selection activeCell="D12" sqref="D12"/>
    </sheetView>
  </sheetViews>
  <sheetFormatPr defaultColWidth="8.81640625" defaultRowHeight="13.5" x14ac:dyDescent="0.35"/>
  <cols>
    <col min="1" max="1" width="8.81640625" style="92"/>
    <col min="2" max="2" width="25.81640625" style="92" customWidth="1"/>
    <col min="3" max="3" width="16.08984375" style="92" customWidth="1"/>
    <col min="4" max="4" width="20.1796875" style="92" customWidth="1"/>
    <col min="5" max="5" width="20.453125" style="92" customWidth="1"/>
    <col min="6" max="12" width="8.81640625" style="92"/>
    <col min="13" max="13" width="15.36328125" style="92" customWidth="1"/>
    <col min="14" max="16384" width="8.81640625" style="92"/>
  </cols>
  <sheetData>
    <row r="2" spans="2:13" x14ac:dyDescent="0.35">
      <c r="B2" s="92" t="s">
        <v>108</v>
      </c>
    </row>
    <row r="3" spans="2:13" ht="40.5" x14ac:dyDescent="0.35">
      <c r="B3" s="95" t="s">
        <v>105</v>
      </c>
      <c r="C3" s="94" t="s">
        <v>96</v>
      </c>
      <c r="D3" s="94" t="s">
        <v>106</v>
      </c>
      <c r="E3" s="94" t="s">
        <v>107</v>
      </c>
    </row>
    <row r="4" spans="2:13" x14ac:dyDescent="0.35">
      <c r="B4" s="97" t="s">
        <v>97</v>
      </c>
      <c r="C4" s="98">
        <v>129.22538570000003</v>
      </c>
      <c r="D4" s="96">
        <v>3.4000000000000002E-2</v>
      </c>
      <c r="E4" s="102">
        <f>C4*D4</f>
        <v>4.3936631138000015</v>
      </c>
    </row>
    <row r="5" spans="2:13" ht="14.4" customHeight="1" x14ac:dyDescent="0.35">
      <c r="B5" s="97" t="s">
        <v>98</v>
      </c>
      <c r="C5" s="98">
        <v>221.74062800000002</v>
      </c>
      <c r="D5" s="96">
        <v>3.4000000000000002E-2</v>
      </c>
      <c r="E5" s="102">
        <f t="shared" ref="E5:E7" si="0">C5*D5</f>
        <v>7.5391813520000008</v>
      </c>
      <c r="M5" s="93"/>
    </row>
    <row r="6" spans="2:13" x14ac:dyDescent="0.35">
      <c r="B6" s="97" t="s">
        <v>99</v>
      </c>
      <c r="C6" s="98">
        <v>215.49815500000003</v>
      </c>
      <c r="D6" s="96">
        <v>3.4000000000000002E-2</v>
      </c>
      <c r="E6" s="102">
        <f t="shared" si="0"/>
        <v>7.3269372700000011</v>
      </c>
      <c r="M6" s="93"/>
    </row>
    <row r="7" spans="2:13" x14ac:dyDescent="0.35">
      <c r="B7" s="97" t="s">
        <v>100</v>
      </c>
      <c r="C7" s="98">
        <v>75.303229000000016</v>
      </c>
      <c r="D7" s="96">
        <v>3.4000000000000002E-2</v>
      </c>
      <c r="E7" s="102">
        <f t="shared" si="0"/>
        <v>2.5603097860000008</v>
      </c>
    </row>
    <row r="8" spans="2:13" x14ac:dyDescent="0.35">
      <c r="B8" s="99"/>
      <c r="C8" s="100"/>
    </row>
    <row r="9" spans="2:13" x14ac:dyDescent="0.35">
      <c r="B9" s="99"/>
      <c r="C9" s="100"/>
    </row>
    <row r="10" spans="2:13" x14ac:dyDescent="0.35">
      <c r="B10" s="101" t="s">
        <v>109</v>
      </c>
      <c r="C10" s="100"/>
    </row>
    <row r="11" spans="2:13" ht="40.5" x14ac:dyDescent="0.35">
      <c r="B11" s="95" t="s">
        <v>105</v>
      </c>
      <c r="C11" s="94" t="s">
        <v>96</v>
      </c>
      <c r="D11" s="94" t="s">
        <v>106</v>
      </c>
      <c r="E11" s="94" t="s">
        <v>107</v>
      </c>
    </row>
    <row r="12" spans="2:13" x14ac:dyDescent="0.35">
      <c r="B12" s="97" t="s">
        <v>97</v>
      </c>
      <c r="C12" s="98">
        <v>129.22538570000003</v>
      </c>
      <c r="D12" s="96">
        <v>0.16</v>
      </c>
      <c r="E12" s="102">
        <f>C12*D12</f>
        <v>20.676061712000006</v>
      </c>
    </row>
    <row r="13" spans="2:13" x14ac:dyDescent="0.35">
      <c r="B13" s="97" t="s">
        <v>98</v>
      </c>
      <c r="C13" s="98">
        <v>221.74062800000002</v>
      </c>
      <c r="D13" s="96">
        <v>0.16</v>
      </c>
      <c r="E13" s="102">
        <f t="shared" ref="E13:E15" si="1">C13*D13</f>
        <v>35.478500480000001</v>
      </c>
    </row>
    <row r="14" spans="2:13" x14ac:dyDescent="0.35">
      <c r="B14" s="97" t="s">
        <v>99</v>
      </c>
      <c r="C14" s="98">
        <v>215.49815500000003</v>
      </c>
      <c r="D14" s="96">
        <v>0.16</v>
      </c>
      <c r="E14" s="102">
        <f t="shared" si="1"/>
        <v>34.479704800000007</v>
      </c>
    </row>
    <row r="15" spans="2:13" x14ac:dyDescent="0.35">
      <c r="B15" s="97" t="s">
        <v>100</v>
      </c>
      <c r="C15" s="98">
        <v>75.303229000000016</v>
      </c>
      <c r="D15" s="96">
        <v>0.16</v>
      </c>
      <c r="E15" s="102">
        <f t="shared" si="1"/>
        <v>12.048516640000003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9B9B4-E786-49CC-B7E7-31082BD8F2E8}">
  <dimension ref="A1:M26"/>
  <sheetViews>
    <sheetView zoomScale="70" zoomScaleNormal="70" workbookViewId="0">
      <selection activeCell="E4" sqref="E4"/>
    </sheetView>
  </sheetViews>
  <sheetFormatPr defaultRowHeight="14.5" x14ac:dyDescent="0.35"/>
  <cols>
    <col min="2" max="2" width="27.08984375" customWidth="1"/>
    <col min="3" max="3" width="17.453125" customWidth="1"/>
    <col min="4" max="4" width="20.54296875" customWidth="1"/>
    <col min="5" max="5" width="18.1796875" customWidth="1"/>
    <col min="6" max="6" width="14.81640625" customWidth="1"/>
    <col min="7" max="7" width="21.81640625" customWidth="1"/>
    <col min="9" max="9" width="32" customWidth="1"/>
  </cols>
  <sheetData>
    <row r="1" spans="1:13" x14ac:dyDescent="0.35">
      <c r="A1" s="148"/>
      <c r="B1" s="148"/>
      <c r="C1" s="148"/>
      <c r="D1" s="120"/>
      <c r="F1" s="107"/>
      <c r="G1" s="107"/>
    </row>
    <row r="2" spans="1:13" x14ac:dyDescent="0.35">
      <c r="A2" s="149" t="s">
        <v>110</v>
      </c>
      <c r="B2" s="149"/>
      <c r="C2" s="149"/>
      <c r="D2" s="121"/>
      <c r="E2" s="108">
        <f>ROUNDDOWN(J26,0)</f>
        <v>16</v>
      </c>
      <c r="F2" s="107"/>
      <c r="G2" s="107"/>
    </row>
    <row r="3" spans="1:13" x14ac:dyDescent="0.35">
      <c r="F3" s="107"/>
      <c r="G3" s="107"/>
      <c r="J3" s="109"/>
      <c r="M3" s="109"/>
    </row>
    <row r="4" spans="1:13" ht="70.25" customHeight="1" x14ac:dyDescent="0.35">
      <c r="A4" s="122" t="s">
        <v>111</v>
      </c>
      <c r="B4" s="122" t="s">
        <v>112</v>
      </c>
      <c r="C4" s="123" t="s">
        <v>113</v>
      </c>
      <c r="D4" s="123" t="s">
        <v>134</v>
      </c>
      <c r="E4" s="123" t="s">
        <v>131</v>
      </c>
      <c r="F4" s="123" t="s">
        <v>114</v>
      </c>
      <c r="G4" s="123" t="s">
        <v>115</v>
      </c>
      <c r="J4" s="110">
        <v>2019</v>
      </c>
      <c r="K4" s="110">
        <v>2020</v>
      </c>
      <c r="L4" s="110">
        <v>2021</v>
      </c>
      <c r="M4" s="110">
        <v>2022</v>
      </c>
    </row>
    <row r="5" spans="1:13" ht="46.25" customHeight="1" x14ac:dyDescent="0.35">
      <c r="A5" s="111">
        <v>1</v>
      </c>
      <c r="B5" s="118" t="s">
        <v>120</v>
      </c>
      <c r="C5" s="111" t="s">
        <v>121</v>
      </c>
      <c r="D5" s="125">
        <v>43709</v>
      </c>
      <c r="E5" s="112">
        <v>44440</v>
      </c>
      <c r="F5" s="114" t="s">
        <v>129</v>
      </c>
      <c r="G5" s="114" t="s">
        <v>132</v>
      </c>
      <c r="I5" s="151" t="s">
        <v>117</v>
      </c>
      <c r="J5" s="115" t="s">
        <v>135</v>
      </c>
      <c r="K5" s="115" t="s">
        <v>135</v>
      </c>
      <c r="L5" s="115" t="s">
        <v>135</v>
      </c>
      <c r="M5" s="115" t="s">
        <v>135</v>
      </c>
    </row>
    <row r="6" spans="1:13" ht="43.75" customHeight="1" x14ac:dyDescent="0.35">
      <c r="A6" s="111">
        <v>2</v>
      </c>
      <c r="B6" s="118" t="s">
        <v>120</v>
      </c>
      <c r="C6" s="111" t="s">
        <v>122</v>
      </c>
      <c r="D6" s="125">
        <v>43709</v>
      </c>
      <c r="E6" s="112">
        <v>44440</v>
      </c>
      <c r="F6" s="114" t="s">
        <v>129</v>
      </c>
      <c r="G6" s="114" t="s">
        <v>132</v>
      </c>
      <c r="I6" s="152"/>
      <c r="J6" s="115" t="s">
        <v>135</v>
      </c>
      <c r="K6" s="115" t="s">
        <v>135</v>
      </c>
      <c r="L6" s="115" t="s">
        <v>135</v>
      </c>
      <c r="M6" s="115" t="s">
        <v>135</v>
      </c>
    </row>
    <row r="7" spans="1:13" ht="45.65" customHeight="1" x14ac:dyDescent="0.35">
      <c r="A7" s="111">
        <v>3</v>
      </c>
      <c r="B7" s="118" t="s">
        <v>120</v>
      </c>
      <c r="C7" s="111" t="s">
        <v>123</v>
      </c>
      <c r="D7" s="125">
        <v>43709</v>
      </c>
      <c r="E7" s="112">
        <v>44440</v>
      </c>
      <c r="F7" s="114" t="s">
        <v>129</v>
      </c>
      <c r="G7" s="114" t="s">
        <v>132</v>
      </c>
      <c r="I7" s="152"/>
      <c r="J7" s="115" t="s">
        <v>135</v>
      </c>
      <c r="K7" s="115" t="s">
        <v>135</v>
      </c>
      <c r="L7" s="115" t="s">
        <v>135</v>
      </c>
      <c r="M7" s="115" t="s">
        <v>135</v>
      </c>
    </row>
    <row r="8" spans="1:13" ht="45" customHeight="1" x14ac:dyDescent="0.35">
      <c r="A8" s="111">
        <v>4</v>
      </c>
      <c r="B8" s="118" t="s">
        <v>120</v>
      </c>
      <c r="C8" s="111" t="s">
        <v>124</v>
      </c>
      <c r="D8" s="125"/>
      <c r="E8" s="112">
        <v>44440</v>
      </c>
      <c r="F8" s="114" t="s">
        <v>154</v>
      </c>
      <c r="G8" s="114" t="s">
        <v>158</v>
      </c>
      <c r="I8" s="152"/>
      <c r="J8" s="115" t="s">
        <v>86</v>
      </c>
      <c r="K8" s="115" t="s">
        <v>86</v>
      </c>
      <c r="L8" s="115" t="s">
        <v>135</v>
      </c>
      <c r="M8" s="115" t="s">
        <v>135</v>
      </c>
    </row>
    <row r="9" spans="1:13" ht="43.75" customHeight="1" x14ac:dyDescent="0.35">
      <c r="A9" s="111">
        <v>5</v>
      </c>
      <c r="B9" s="118" t="s">
        <v>120</v>
      </c>
      <c r="C9" s="113" t="s">
        <v>125</v>
      </c>
      <c r="D9" s="125">
        <v>43709</v>
      </c>
      <c r="E9" s="112">
        <v>44440</v>
      </c>
      <c r="F9" s="114" t="s">
        <v>129</v>
      </c>
      <c r="G9" s="114" t="s">
        <v>132</v>
      </c>
      <c r="I9" s="152"/>
      <c r="J9" s="115" t="s">
        <v>135</v>
      </c>
      <c r="K9" s="115" t="s">
        <v>135</v>
      </c>
      <c r="L9" s="115" t="s">
        <v>135</v>
      </c>
      <c r="M9" s="115" t="s">
        <v>135</v>
      </c>
    </row>
    <row r="10" spans="1:13" ht="45" customHeight="1" x14ac:dyDescent="0.35">
      <c r="A10" s="111">
        <v>6</v>
      </c>
      <c r="B10" s="118" t="s">
        <v>120</v>
      </c>
      <c r="C10" s="111" t="s">
        <v>126</v>
      </c>
      <c r="D10" s="125">
        <v>43709</v>
      </c>
      <c r="E10" s="112">
        <v>44440</v>
      </c>
      <c r="F10" s="114" t="s">
        <v>127</v>
      </c>
      <c r="G10" s="114" t="s">
        <v>132</v>
      </c>
      <c r="I10" s="152"/>
      <c r="J10" s="115" t="s">
        <v>135</v>
      </c>
      <c r="K10" s="115" t="s">
        <v>135</v>
      </c>
      <c r="L10" s="115" t="s">
        <v>135</v>
      </c>
      <c r="M10" s="115" t="s">
        <v>135</v>
      </c>
    </row>
    <row r="11" spans="1:13" ht="45" customHeight="1" x14ac:dyDescent="0.35">
      <c r="A11" s="111">
        <v>7</v>
      </c>
      <c r="B11" s="118" t="s">
        <v>120</v>
      </c>
      <c r="C11" s="111" t="s">
        <v>128</v>
      </c>
      <c r="D11" s="125">
        <v>43709</v>
      </c>
      <c r="E11" s="112">
        <v>44440</v>
      </c>
      <c r="F11" s="114" t="s">
        <v>129</v>
      </c>
      <c r="G11" s="114" t="s">
        <v>132</v>
      </c>
      <c r="I11" s="152"/>
      <c r="J11" s="115" t="s">
        <v>135</v>
      </c>
      <c r="K11" s="115" t="s">
        <v>135</v>
      </c>
      <c r="L11" s="115" t="s">
        <v>135</v>
      </c>
      <c r="M11" s="115" t="s">
        <v>135</v>
      </c>
    </row>
    <row r="12" spans="1:13" ht="45" customHeight="1" x14ac:dyDescent="0.35">
      <c r="A12" s="111">
        <v>8</v>
      </c>
      <c r="B12" s="118" t="s">
        <v>120</v>
      </c>
      <c r="C12" s="111" t="s">
        <v>130</v>
      </c>
      <c r="D12" s="125"/>
      <c r="E12" s="119">
        <v>44441</v>
      </c>
      <c r="F12" s="114" t="s">
        <v>129</v>
      </c>
      <c r="G12" s="114" t="s">
        <v>158</v>
      </c>
      <c r="I12" s="152"/>
      <c r="J12" s="115" t="s">
        <v>86</v>
      </c>
      <c r="K12" s="115" t="s">
        <v>86</v>
      </c>
      <c r="L12" s="115" t="s">
        <v>135</v>
      </c>
      <c r="M12" s="115" t="s">
        <v>135</v>
      </c>
    </row>
    <row r="13" spans="1:13" ht="43.75" customHeight="1" x14ac:dyDescent="0.35">
      <c r="A13" s="111">
        <v>9</v>
      </c>
      <c r="B13" s="118" t="s">
        <v>120</v>
      </c>
      <c r="C13" s="111" t="s">
        <v>133</v>
      </c>
      <c r="D13" s="125">
        <v>43709</v>
      </c>
      <c r="E13" s="119">
        <v>42309</v>
      </c>
      <c r="F13" s="124" t="s">
        <v>136</v>
      </c>
      <c r="G13" s="114" t="s">
        <v>132</v>
      </c>
      <c r="I13" s="152"/>
      <c r="J13" s="115" t="s">
        <v>135</v>
      </c>
      <c r="K13" s="115" t="s">
        <v>135</v>
      </c>
      <c r="L13" s="115" t="s">
        <v>135</v>
      </c>
      <c r="M13" s="115" t="s">
        <v>135</v>
      </c>
    </row>
    <row r="14" spans="1:13" ht="46.75" customHeight="1" x14ac:dyDescent="0.35">
      <c r="A14" s="111">
        <v>10</v>
      </c>
      <c r="B14" s="118" t="s">
        <v>138</v>
      </c>
      <c r="C14" s="124" t="s">
        <v>143</v>
      </c>
      <c r="D14" s="125">
        <v>43556</v>
      </c>
      <c r="E14" s="119">
        <v>42199</v>
      </c>
      <c r="F14" s="114" t="s">
        <v>137</v>
      </c>
      <c r="G14" s="114" t="s">
        <v>132</v>
      </c>
      <c r="I14" s="152"/>
      <c r="J14" s="115" t="s">
        <v>135</v>
      </c>
      <c r="K14" s="115" t="s">
        <v>135</v>
      </c>
      <c r="L14" s="115" t="s">
        <v>135</v>
      </c>
      <c r="M14" s="115" t="s">
        <v>135</v>
      </c>
    </row>
    <row r="15" spans="1:13" ht="42.65" customHeight="1" x14ac:dyDescent="0.35">
      <c r="A15" s="111">
        <v>11</v>
      </c>
      <c r="B15" s="118" t="s">
        <v>138</v>
      </c>
      <c r="C15" s="111" t="s">
        <v>153</v>
      </c>
      <c r="D15" s="125">
        <v>43557</v>
      </c>
      <c r="E15" s="119">
        <v>42642</v>
      </c>
      <c r="F15" s="114" t="s">
        <v>137</v>
      </c>
      <c r="G15" s="114" t="s">
        <v>132</v>
      </c>
      <c r="I15" s="152"/>
      <c r="J15" s="115" t="s">
        <v>135</v>
      </c>
      <c r="K15" s="115" t="s">
        <v>135</v>
      </c>
      <c r="L15" s="115" t="s">
        <v>135</v>
      </c>
      <c r="M15" s="115" t="s">
        <v>135</v>
      </c>
    </row>
    <row r="16" spans="1:13" ht="43.25" customHeight="1" x14ac:dyDescent="0.35">
      <c r="A16" s="111">
        <v>12</v>
      </c>
      <c r="B16" s="118" t="s">
        <v>138</v>
      </c>
      <c r="C16" s="111" t="s">
        <v>139</v>
      </c>
      <c r="D16" s="125">
        <v>43558</v>
      </c>
      <c r="E16" s="119">
        <v>42736</v>
      </c>
      <c r="F16" s="114" t="s">
        <v>137</v>
      </c>
      <c r="G16" s="114" t="s">
        <v>132</v>
      </c>
      <c r="I16" s="152"/>
      <c r="J16" s="115" t="s">
        <v>135</v>
      </c>
      <c r="K16" s="115" t="s">
        <v>135</v>
      </c>
      <c r="L16" s="115" t="s">
        <v>135</v>
      </c>
      <c r="M16" s="115" t="s">
        <v>135</v>
      </c>
    </row>
    <row r="17" spans="1:13" ht="43.25" customHeight="1" x14ac:dyDescent="0.35">
      <c r="A17" s="111">
        <v>13</v>
      </c>
      <c r="B17" s="118" t="s">
        <v>138</v>
      </c>
      <c r="C17" s="111" t="s">
        <v>140</v>
      </c>
      <c r="D17" s="125">
        <v>43559</v>
      </c>
      <c r="E17" s="119">
        <v>42216</v>
      </c>
      <c r="F17" s="114" t="s">
        <v>137</v>
      </c>
      <c r="G17" s="114" t="s">
        <v>132</v>
      </c>
      <c r="I17" s="152"/>
      <c r="J17" s="115" t="s">
        <v>135</v>
      </c>
      <c r="K17" s="115" t="s">
        <v>135</v>
      </c>
      <c r="L17" s="115" t="s">
        <v>135</v>
      </c>
      <c r="M17" s="115" t="s">
        <v>135</v>
      </c>
    </row>
    <row r="18" spans="1:13" ht="44.4" customHeight="1" x14ac:dyDescent="0.35">
      <c r="A18" s="111">
        <v>14</v>
      </c>
      <c r="B18" s="126" t="s">
        <v>142</v>
      </c>
      <c r="C18" s="111" t="s">
        <v>141</v>
      </c>
      <c r="D18" s="125">
        <v>43560</v>
      </c>
      <c r="E18" s="119">
        <v>42796</v>
      </c>
      <c r="F18" s="114" t="s">
        <v>145</v>
      </c>
      <c r="G18" s="114" t="s">
        <v>132</v>
      </c>
      <c r="I18" s="152"/>
      <c r="J18" s="115" t="s">
        <v>135</v>
      </c>
      <c r="K18" s="115" t="s">
        <v>86</v>
      </c>
      <c r="L18" s="115" t="s">
        <v>86</v>
      </c>
      <c r="M18" s="115" t="s">
        <v>86</v>
      </c>
    </row>
    <row r="19" spans="1:13" ht="46.25" customHeight="1" x14ac:dyDescent="0.35">
      <c r="A19" s="111">
        <v>15</v>
      </c>
      <c r="B19" s="126" t="s">
        <v>142</v>
      </c>
      <c r="C19" s="111" t="s">
        <v>144</v>
      </c>
      <c r="D19" s="125">
        <v>43647</v>
      </c>
      <c r="E19" s="119">
        <v>43662</v>
      </c>
      <c r="F19" s="114" t="s">
        <v>145</v>
      </c>
      <c r="G19" s="114" t="s">
        <v>132</v>
      </c>
      <c r="I19" s="152"/>
      <c r="J19" s="115" t="s">
        <v>135</v>
      </c>
      <c r="K19" s="115" t="s">
        <v>135</v>
      </c>
      <c r="L19" s="115" t="s">
        <v>135</v>
      </c>
      <c r="M19" s="115" t="s">
        <v>135</v>
      </c>
    </row>
    <row r="20" spans="1:13" ht="43.75" customHeight="1" x14ac:dyDescent="0.35">
      <c r="A20" s="111">
        <v>16</v>
      </c>
      <c r="B20" s="126" t="s">
        <v>148</v>
      </c>
      <c r="C20" s="111" t="s">
        <v>146</v>
      </c>
      <c r="E20" s="119">
        <v>44413</v>
      </c>
      <c r="F20" s="114" t="s">
        <v>147</v>
      </c>
      <c r="G20" s="114" t="s">
        <v>158</v>
      </c>
      <c r="I20" s="152"/>
      <c r="J20" s="115" t="s">
        <v>86</v>
      </c>
      <c r="K20" s="115" t="s">
        <v>86</v>
      </c>
      <c r="L20" s="115" t="s">
        <v>135</v>
      </c>
      <c r="M20" s="115" t="s">
        <v>135</v>
      </c>
    </row>
    <row r="21" spans="1:13" ht="40.75" customHeight="1" x14ac:dyDescent="0.35">
      <c r="A21" s="111">
        <v>17</v>
      </c>
      <c r="B21" s="126" t="s">
        <v>149</v>
      </c>
      <c r="C21" s="111" t="s">
        <v>150</v>
      </c>
      <c r="D21" s="111"/>
      <c r="E21" s="119">
        <v>43742</v>
      </c>
      <c r="F21" s="114" t="s">
        <v>147</v>
      </c>
      <c r="G21" s="114" t="s">
        <v>158</v>
      </c>
      <c r="I21" s="152"/>
      <c r="J21" s="115" t="s">
        <v>135</v>
      </c>
      <c r="K21" s="115" t="s">
        <v>135</v>
      </c>
      <c r="L21" s="115" t="s">
        <v>135</v>
      </c>
      <c r="M21" s="115" t="s">
        <v>135</v>
      </c>
    </row>
    <row r="22" spans="1:13" ht="46.25" customHeight="1" x14ac:dyDescent="0.35">
      <c r="A22" s="111">
        <v>18</v>
      </c>
      <c r="B22" s="126" t="s">
        <v>142</v>
      </c>
      <c r="C22" s="111" t="s">
        <v>151</v>
      </c>
      <c r="D22" s="111"/>
      <c r="E22" s="119">
        <v>44232</v>
      </c>
      <c r="F22" s="114" t="s">
        <v>152</v>
      </c>
      <c r="G22" s="114" t="s">
        <v>158</v>
      </c>
      <c r="I22" s="152"/>
      <c r="J22" s="115" t="s">
        <v>86</v>
      </c>
      <c r="K22" s="115" t="s">
        <v>86</v>
      </c>
      <c r="L22" s="115" t="s">
        <v>135</v>
      </c>
      <c r="M22" s="115" t="s">
        <v>135</v>
      </c>
    </row>
    <row r="23" spans="1:13" ht="36.65" customHeight="1" x14ac:dyDescent="0.35">
      <c r="A23" s="111">
        <v>19</v>
      </c>
      <c r="B23" s="126" t="s">
        <v>157</v>
      </c>
      <c r="C23" s="111" t="s">
        <v>155</v>
      </c>
      <c r="D23" s="125">
        <v>44013</v>
      </c>
      <c r="E23" s="119"/>
      <c r="F23" s="114" t="s">
        <v>116</v>
      </c>
      <c r="G23" s="114" t="s">
        <v>159</v>
      </c>
      <c r="I23" s="152"/>
      <c r="J23" s="115" t="s">
        <v>86</v>
      </c>
      <c r="K23" s="115" t="s">
        <v>135</v>
      </c>
      <c r="L23" s="115" t="s">
        <v>135</v>
      </c>
      <c r="M23" s="115" t="s">
        <v>135</v>
      </c>
    </row>
    <row r="24" spans="1:13" ht="38.4" customHeight="1" x14ac:dyDescent="0.35">
      <c r="A24" s="111">
        <v>20</v>
      </c>
      <c r="B24" s="126" t="s">
        <v>157</v>
      </c>
      <c r="C24" s="111" t="s">
        <v>156</v>
      </c>
      <c r="D24" s="125">
        <v>44013</v>
      </c>
      <c r="E24" s="119"/>
      <c r="F24" s="114" t="s">
        <v>116</v>
      </c>
      <c r="G24" s="114" t="s">
        <v>159</v>
      </c>
      <c r="I24" s="153"/>
      <c r="J24" s="115" t="s">
        <v>86</v>
      </c>
      <c r="K24" s="115" t="s">
        <v>135</v>
      </c>
      <c r="L24" s="115" t="s">
        <v>135</v>
      </c>
      <c r="M24" s="115" t="s">
        <v>135</v>
      </c>
    </row>
    <row r="25" spans="1:13" x14ac:dyDescent="0.35">
      <c r="I25" s="116" t="s">
        <v>118</v>
      </c>
      <c r="J25" s="115">
        <v>14</v>
      </c>
      <c r="K25" s="115">
        <v>15</v>
      </c>
      <c r="L25" s="115">
        <v>19</v>
      </c>
      <c r="M25" s="115">
        <v>19</v>
      </c>
    </row>
    <row r="26" spans="1:13" ht="29" x14ac:dyDescent="0.35">
      <c r="I26" s="117" t="s">
        <v>119</v>
      </c>
      <c r="J26" s="150">
        <f>AVERAGE(J25:M25)</f>
        <v>16.75</v>
      </c>
      <c r="K26" s="150"/>
      <c r="L26" s="150"/>
      <c r="M26" s="150"/>
    </row>
  </sheetData>
  <mergeCells count="4">
    <mergeCell ref="A1:C1"/>
    <mergeCell ref="A2:C2"/>
    <mergeCell ref="J26:M26"/>
    <mergeCell ref="I5:I2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SDG13-Emission Reduction</vt:lpstr>
      <vt:lpstr>SDG 6-Wastewater</vt:lpstr>
      <vt:lpstr>SDG 7-Electricity Gen</vt:lpstr>
      <vt:lpstr>SDG 13- Air quality </vt:lpstr>
      <vt:lpstr>SDG 8 - Employments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ışıl doğan</dc:creator>
  <cp:lastModifiedBy>Kubra Agriman</cp:lastModifiedBy>
  <dcterms:created xsi:type="dcterms:W3CDTF">2021-09-07T08:42:28Z</dcterms:created>
  <dcterms:modified xsi:type="dcterms:W3CDTF">2023-02-02T12:46:56Z</dcterms:modified>
</cp:coreProperties>
</file>