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b Summary" sheetId="1" r:id="rId4"/>
    <sheet state="visible" name="Assumptions &amp; Parameters" sheetId="2" r:id="rId5"/>
    <sheet state="visible" name="Fuel Cross-Check" sheetId="3" r:id="rId6"/>
    <sheet state="visible" name="Vintage Breakdown" sheetId="4" r:id="rId7"/>
    <sheet state="visible" name="ER" sheetId="5" r:id="rId8"/>
    <sheet state="visible" name="BE" sheetId="6" r:id="rId9"/>
    <sheet state="visible" name="PE" sheetId="7" r:id="rId10"/>
    <sheet state="visible" name="SDG Outcomes" sheetId="8" r:id="rId11"/>
  </sheets>
  <definedNames>
    <definedName name="EFaf_fule1_totalCO2">#REF!</definedName>
    <definedName name="reduction">#REF!</definedName>
    <definedName name="EFaf_fule1_prod_CO2">#REF!</definedName>
    <definedName name="nrb_1">#REF!</definedName>
    <definedName name="n">#REF!</definedName>
    <definedName name="nrb_10">#REF!</definedName>
    <definedName name="EFpj_bio2_cook_CO2">#REF!</definedName>
    <definedName name="fNRB">#REF!</definedName>
    <definedName name="EFaf_fule1_cook_CO2">#REF!</definedName>
    <definedName name="Upj_fule1_5thyr">#REF!</definedName>
    <definedName name="EFpj_bio1_totalnon_CO2">#REF!</definedName>
    <definedName name="WB_per_Person">#REF!</definedName>
    <definedName name="AFbl_fuel2_y2">#REF!</definedName>
    <definedName name="Upj_bio2_1styr">#REF!</definedName>
    <definedName name="F_3">#REF!</definedName>
    <definedName name="AFbl_fuel3_y7">#REF!</definedName>
    <definedName name="age4_5">#REF!</definedName>
    <definedName name="AFbl_fuel2_y4">#REF!</definedName>
    <definedName name="F_8">#REF!</definedName>
    <definedName name="F_9">#REF!</definedName>
    <definedName name="L_2">#REF!</definedName>
    <definedName name="Xnrb_bl_y8">#REF!</definedName>
    <definedName name="L_3">#REF!</definedName>
    <definedName name="L_9">#REF!</definedName>
    <definedName name="age5_6">#REF!</definedName>
    <definedName name="Bbl_y4">#REF!</definedName>
    <definedName name="U_4">#REF!</definedName>
    <definedName name="AFbl_fuel2_y6">#REF!</definedName>
    <definedName name="Ave_sales_growth">#REF!</definedName>
    <definedName name="Upj_fuel3_9thyr">#REF!</definedName>
    <definedName name="Bbl_y5">#REF!</definedName>
    <definedName name="EFaf_fuel1_totalnon_CO2">#REF!</definedName>
    <definedName name="Bbl_y1">#REF!</definedName>
    <definedName name="U_6">#REF!</definedName>
    <definedName name="EFbl_bio3_totalnon_CO2">#REF!</definedName>
    <definedName name="EFaf_fule1_cook_N2O">#REF!</definedName>
    <definedName name="U_3">#REF!</definedName>
    <definedName name="D">#REF!</definedName>
    <definedName name="Precision">#REF!</definedName>
    <definedName name="EFpj_bio2_cook_gas_i">#REF!</definedName>
    <definedName name="_BEy7">#REF!</definedName>
    <definedName name="AFbl_fuel3_y6">#REF!</definedName>
    <definedName name="Upj_fuel3_2ndyr">#REF!</definedName>
    <definedName name="age2_3">#REF!</definedName>
    <definedName name="Upj_bio2_5thyr">#REF!</definedName>
    <definedName name="nrb_3">#REF!</definedName>
    <definedName name="SC_WB">#REF!</definedName>
    <definedName name="Initial_sales">#REF!</definedName>
    <definedName name="AFbl_fuel3_y8">#REF!</definedName>
    <definedName name="EFpj_bio1_cook_CO2">#REF!</definedName>
    <definedName name="nrb_8">#REF!</definedName>
    <definedName name="Xnrb_bl_y2">#REF!</definedName>
    <definedName name="AFbl_fuel3_y5">#REF!</definedName>
    <definedName name="AFbl_fuel2_y5">#REF!</definedName>
    <definedName name="Upj_fuel2_8thyr">#REF!</definedName>
    <definedName name="U_1">#REF!</definedName>
    <definedName name="AFbl_fuel1_y9">#REF!</definedName>
    <definedName name="EFbl_bio1_totalnon_CO2">#REF!</definedName>
    <definedName name="Upj_fuel2_1styr">#REF!</definedName>
    <definedName name="Upj_fuel2_5thyr">#REF!</definedName>
    <definedName name="L_4">#REF!</definedName>
    <definedName name="EFaf_co2_fuel3">#REF!</definedName>
    <definedName name="Upj_bio3_6thyr">#REF!</definedName>
    <definedName name="Xnrb_bl_y1">#REF!</definedName>
    <definedName name="EFbl_bio2_cook_CO2">#REF!</definedName>
    <definedName name="EFaf_fuel2_N2O">#REF!</definedName>
    <definedName name="AFbl_fuel2_y1">#REF!</definedName>
    <definedName name="Upj_fule1_9thyr">#REF!</definedName>
    <definedName name="nonCO2prod">#REF!</definedName>
    <definedName name="s">#REF!</definedName>
    <definedName name="EFaf_fuel1_N2O">#REF!</definedName>
    <definedName name="Upj_bio3_3rdyr">#REF!</definedName>
    <definedName name="EFbl_bio3_prod_CO2">#REF!</definedName>
    <definedName name="EFpj_bio3_totalnon_CO2">#REF!</definedName>
    <definedName name="Upj_fule1_7thyr">#REF!</definedName>
    <definedName name="EFbl_bio2_totalnon_CO2">#REF!</definedName>
    <definedName name="Upj_fuel3_1styr">#REF!</definedName>
    <definedName name="_BEy5">#REF!</definedName>
    <definedName name="EFpj_bio3_cook_gas_i">#REF!</definedName>
    <definedName name="Member_HH">#REF!</definedName>
    <definedName name="EFaf_fuel2_totalnon_CO2">#REF!</definedName>
    <definedName name="Xnrb_bl_y10">#REF!</definedName>
    <definedName name="Upj_fuel2_3rdyr">#REF!</definedName>
    <definedName name="Upj_bio2_2ndyr">#REF!</definedName>
    <definedName name="nrb_2">#REF!</definedName>
    <definedName name="Upj_bio3_8thyr">#REF!</definedName>
    <definedName name="m">#REF!</definedName>
    <definedName name="EFaf_fule1_cook_CH4">#REF!</definedName>
    <definedName name="EFaf_fule1_totalnon_CO2">#REF!</definedName>
    <definedName name="EFaf_fuel1_prod_CO2">#REF!</definedName>
    <definedName name="Upj_fule1_3rdyr">#REF!</definedName>
    <definedName name="Upj_fuel2_9thyr">#REF!</definedName>
    <definedName name="Upj_bio2_4thyr">#REF!</definedName>
    <definedName name="Bbl_y3">#REF!</definedName>
    <definedName name="Upj_fule1_8thyr">#REF!</definedName>
    <definedName name="AFbl_fuel2_y7">#REF!</definedName>
    <definedName name="Upj_bio2_6thyr">#REF!</definedName>
    <definedName name="F_6">#REF!</definedName>
    <definedName name="nrb_6">#REF!</definedName>
    <definedName name="nrb_9">#REF!</definedName>
    <definedName name="Xnrb_bl_y7">#REF!</definedName>
    <definedName name="EFaf_fuel2_prod_CO2">#REF!</definedName>
    <definedName name="price">#REF!</definedName>
    <definedName name="Upj_bio3_5thyr">#REF!</definedName>
    <definedName name="Upj_bio3_2ndyr">#REF!</definedName>
    <definedName name="SME">#REF!</definedName>
    <definedName name="EF_af_co2_fuel1">#REF!</definedName>
    <definedName name="leakage">#REF!</definedName>
    <definedName name="F_2">#REF!</definedName>
    <definedName name="AFbl_fuel2_y8">#REF!</definedName>
    <definedName name="Xnrb_bl_y3">#REF!</definedName>
    <definedName name="datanew">#REF!</definedName>
    <definedName name="EFaf_prod_co2_fuel3">#REF!</definedName>
    <definedName name="L_10">#REF!</definedName>
    <definedName name="EFaf_fule1_prod_N2O">#REF!</definedName>
    <definedName name="L_8">#REF!</definedName>
    <definedName name="L_1">#REF!</definedName>
    <definedName name="AFbl_fuel1_y8">#REF!</definedName>
    <definedName name="EFpj_bio3_prod_CO2">#REF!</definedName>
    <definedName name="AFlb_fuel3_1styr">#REF!</definedName>
    <definedName name="EFaf_prod_co2_fuel1">#REF!</definedName>
    <definedName name="Upj_bio3_1styr">#REF!</definedName>
    <definedName name="AFbl_fuel3_y10">#REF!</definedName>
    <definedName name="age3_4">#REF!</definedName>
    <definedName name="rmb">#REF!</definedName>
    <definedName name="drate2">#REF!</definedName>
    <definedName name="Bbl_y10">#REF!</definedName>
    <definedName name="Upj_bio2_8thyr">#REF!</definedName>
    <definedName name="Bbl_y6">#REF!</definedName>
    <definedName name="AFbl_fuel3_y1">#REF!</definedName>
    <definedName name="EFaf_fuel3_N2O">#REF!</definedName>
    <definedName name="Upj_fuel3_4thyr">#REF!</definedName>
    <definedName name="Upj_fuel2_2ndyr">#REF!</definedName>
    <definedName name="AFbl_fuel3_y4">#REF!</definedName>
    <definedName name="AFbl_fuel3_y2">#REF!</definedName>
    <definedName name="Upj_bio2_3rdyr">#REF!</definedName>
    <definedName name="EFpj_bio2_prod_CO2">#REF!</definedName>
    <definedName name="_BEy6">#REF!</definedName>
    <definedName name="Upj_bio3_7thyr">#REF!</definedName>
    <definedName name="EFpj_bio2_totalnon_CO2">#REF!</definedName>
    <definedName name="EFaf_co2_fuel2">#REF!</definedName>
    <definedName name="data1">#REF!</definedName>
    <definedName name="_BEy9">#REF!</definedName>
    <definedName name="Xnrb_bl_y9">#REF!</definedName>
    <definedName name="Upj_bio3_9thyr">#REF!</definedName>
    <definedName name="EFaf_fuel3_prod_CO2">#REF!</definedName>
    <definedName name="Upj_fuel2_10thyr">#REF!</definedName>
    <definedName name="Bbl_y7">#REF!</definedName>
    <definedName name="EFbl_bio1_prod_N2O">#REF!</definedName>
    <definedName name="F_1">#REF!</definedName>
    <definedName name="AFble_fuel1_y7">#REF!</definedName>
    <definedName name="data_array">#REF!</definedName>
    <definedName name="U_8">#REF!</definedName>
    <definedName name="grate">#REF!</definedName>
    <definedName name="start_year">#REF!</definedName>
    <definedName name="Confidence">#REF!</definedName>
    <definedName name="Upj_fuel3_10thyr">#REF!</definedName>
    <definedName name="AFbl_fuel2">#REF!</definedName>
    <definedName name="EFbl_bio1_prod_CO2">#REF!</definedName>
    <definedName name="age7_8">#REF!</definedName>
    <definedName name="Upj_fuel3_6thyr">#REF!</definedName>
    <definedName name="L_6">#REF!</definedName>
    <definedName name="F_4">#REF!</definedName>
    <definedName name="AFbl_fuel3_y9">#REF!</definedName>
    <definedName name="Xnrb_bl_y5">#REF!</definedName>
    <definedName name="age0_1">#REF!</definedName>
    <definedName name="Upj_fuel3_8thyr">#REF!</definedName>
    <definedName name="AFbl_fuel2_y9">#REF!</definedName>
    <definedName name="Upj_fuel3_3rdyr">#REF!</definedName>
    <definedName name="NCV_e">#REF!</definedName>
    <definedName name="Upj_fule1_6thyr">#REF!</definedName>
    <definedName name="_BEy4">#REF!</definedName>
    <definedName name="EFaf_co2_fuel1">#REF!</definedName>
    <definedName name="EFaf_fuel2_cook_gas_i">#REF!</definedName>
    <definedName name="EFaf_fuel2_CH4">#REF!</definedName>
    <definedName name="Upj_bio2_7thyr">#REF!</definedName>
    <definedName name="AFbl_y2_fuel2">#REF!</definedName>
    <definedName name="Xnrb_bl_y6">#REF!</definedName>
    <definedName name="U_2">#REF!</definedName>
    <definedName name="EFaf_fuel1_CH4">#REF!</definedName>
    <definedName name="EFaf_prod_co2_fuel2">#REF!</definedName>
    <definedName name="subsidy">#REF!</definedName>
    <definedName name="drate">#REF!</definedName>
    <definedName name="Bbl_y9">#REF!</definedName>
    <definedName name="a">#REF!</definedName>
    <definedName name="EFbl_bio2_total_CO2">#REF!</definedName>
    <definedName name="Upj_fule1_2ndyr">#REF!</definedName>
    <definedName name="EFpj_bio3_cook_CO2">#REF!</definedName>
    <definedName name="_BEy3">#REF!</definedName>
    <definedName name="EFaf_fule1_prod_CH4">#REF!</definedName>
    <definedName name="Upj_bio3_10thyr">#REF!</definedName>
    <definedName name="_BEy8">#REF!</definedName>
    <definedName name="Upj_fule1_1styr">#REF!</definedName>
    <definedName name="Upj_fuel2_4thyr">#REF!</definedName>
    <definedName name="EFpj_bio1_prod_CO2">#REF!</definedName>
    <definedName name="age6_7">#REF!</definedName>
    <definedName name="alpha">#REF!</definedName>
    <definedName name="Xnrb_bl_y4">#REF!</definedName>
    <definedName name="Upj_fuel2_7thyr">#REF!</definedName>
    <definedName name="Upj_fuel3_5thyr">#REF!</definedName>
    <definedName name="EFaf_fuel3_CH4">#REF!</definedName>
    <definedName name="bins_array">#REF!</definedName>
    <definedName name="EFbl_bio2_prod_CO2">#REF!</definedName>
    <definedName name="age8_9">#REF!</definedName>
    <definedName name="version">#REF!</definedName>
    <definedName name="Cons_pax">#REF!</definedName>
    <definedName name="Upj_fule1_10thyr">#REF!</definedName>
    <definedName name="Upj_bio3_4thyr">#REF!</definedName>
    <definedName name="Bbl_y8">#REF!</definedName>
    <definedName name="totalCO2">#REF!</definedName>
    <definedName name="Upj_fule1_4thyr">#REF!</definedName>
    <definedName name="EFaf_fuel3_totalnon_CO2">#REF!</definedName>
    <definedName name="age9_10">#REF!</definedName>
    <definedName name="data">#REF!</definedName>
    <definedName name="Bbl_y2">#REF!</definedName>
    <definedName name="nrb_4">#REF!</definedName>
    <definedName name="AFbl_fuel2_y3">#REF!</definedName>
    <definedName name="StartDate">#REF!</definedName>
    <definedName name="nonCO2cook">#REF!</definedName>
    <definedName name="AFbl_fuel2_y10">#REF!</definedName>
    <definedName name="Upj_fuel2_6thyr">#REF!</definedName>
    <definedName name="AFbl_fuel3_y3">#REF!</definedName>
    <definedName name="age1_2">#REF!</definedName>
    <definedName name="Upj_fuel3_7thyr">#REF!</definedName>
    <definedName name="EFaf_fuel2_cook_CO2">#REF!</definedName>
    <definedName name="U_9">#REF!</definedName>
    <definedName name="Upj_bio2_9thyr">#REF!</definedName>
    <definedName hidden="1" localSheetId="1" name="_xlnm._FilterDatabase">'Assumptions &amp; Parameters'!$A$2:$Y$31</definedName>
  </definedNames>
  <calcPr/>
</workbook>
</file>

<file path=xl/sharedStrings.xml><?xml version="1.0" encoding="utf-8"?>
<sst xmlns="http://schemas.openxmlformats.org/spreadsheetml/2006/main" count="330" uniqueCount="269">
  <si>
    <t>Customer Database Summary Sheet upto 31-08-2022</t>
  </si>
  <si>
    <t>CPA-0001</t>
  </si>
  <si>
    <t>CPA-0002</t>
  </si>
  <si>
    <t>Cookstoves</t>
  </si>
  <si>
    <t>Stove_Years</t>
  </si>
  <si>
    <t>Nairobi</t>
  </si>
  <si>
    <t>Mombasa</t>
  </si>
  <si>
    <t>ELDORET</t>
  </si>
  <si>
    <t>KISUMU</t>
  </si>
  <si>
    <t>NAKURU</t>
  </si>
  <si>
    <t>Total</t>
  </si>
  <si>
    <t>Monthwise Cookstoves Sale</t>
  </si>
  <si>
    <t xml:space="preserve">Month </t>
  </si>
  <si>
    <t>Sale</t>
  </si>
  <si>
    <t>Cummulative Sale</t>
  </si>
  <si>
    <t>Cookers B/f</t>
  </si>
  <si>
    <t>SDG-13 Parameters</t>
  </si>
  <si>
    <t>Parameter Name</t>
  </si>
  <si>
    <t>Symbol</t>
  </si>
  <si>
    <t>Value</t>
  </si>
  <si>
    <t>Unit</t>
  </si>
  <si>
    <t>Source</t>
  </si>
  <si>
    <t>Net Calorific Value of Fuelwood</t>
  </si>
  <si>
    <r>
      <rPr>
        <rFont val="Calibri"/>
        <color rgb="FF000000"/>
        <sz val="9.0"/>
      </rPr>
      <t>NCV</t>
    </r>
    <r>
      <rPr>
        <rFont val="Calibri"/>
        <color rgb="FF000000"/>
        <sz val="9.0"/>
        <vertAlign val="subscript"/>
      </rPr>
      <t>biomass</t>
    </r>
  </si>
  <si>
    <t>TJ/Tonne</t>
  </si>
  <si>
    <t>IPCC Default Value, AMS-I.E.</t>
  </si>
  <si>
    <t>Net Calorific Value of Charcoal</t>
  </si>
  <si>
    <r>
      <rPr>
        <rFont val="Calibri"/>
        <color rgb="FF000000"/>
        <sz val="9.0"/>
      </rPr>
      <t>NCV</t>
    </r>
    <r>
      <rPr>
        <rFont val="Calibri"/>
        <color rgb="FF000000"/>
        <sz val="9.0"/>
        <vertAlign val="subscript"/>
      </rPr>
      <t>charcoal</t>
    </r>
  </si>
  <si>
    <t>Charcoal Conversion Factor</t>
  </si>
  <si>
    <r>
      <rPr>
        <rFont val="Calibri"/>
        <color rgb="FF000000"/>
        <sz val="9.0"/>
      </rPr>
      <t>CF</t>
    </r>
    <r>
      <rPr>
        <rFont val="Calibri"/>
        <color rgb="FF000000"/>
        <sz val="9.0"/>
        <vertAlign val="subscript"/>
      </rPr>
      <t>Charcoal</t>
    </r>
  </si>
  <si>
    <t>Unitless</t>
  </si>
  <si>
    <t>VPA-0002 Registered ER Calculation Sheet</t>
  </si>
  <si>
    <t>Fraction of woody biomass saved by the project activity that can be established as non-renewable biomass</t>
  </si>
  <si>
    <r>
      <rPr>
        <rFont val="Calibri"/>
        <color rgb="FF000000"/>
        <sz val="9.0"/>
      </rPr>
      <t>f</t>
    </r>
    <r>
      <rPr>
        <rFont val="Calibri"/>
        <color rgb="FF000000"/>
        <sz val="9.0"/>
        <vertAlign val="subscript"/>
      </rPr>
      <t>NRB</t>
    </r>
  </si>
  <si>
    <t>Fraction,%</t>
  </si>
  <si>
    <t>Re-calculated as per Tool 30 in accordance with PoA requirement</t>
  </si>
  <si>
    <t xml:space="preserve">Emission factor for the substitution of non-renewable woody biomass </t>
  </si>
  <si>
    <r>
      <rPr>
        <rFont val="Calibri"/>
        <color rgb="FF000000"/>
        <sz val="9.0"/>
      </rPr>
      <t>EF</t>
    </r>
    <r>
      <rPr>
        <rFont val="Calibri"/>
        <color rgb="FF000000"/>
        <sz val="9.0"/>
        <vertAlign val="subscript"/>
      </rPr>
      <t>projected fossil fuel</t>
    </r>
  </si>
  <si>
    <r>
      <rPr>
        <rFont val="Calibri"/>
        <color theme="1"/>
        <sz val="9.0"/>
      </rPr>
      <t>Tonnes CO</t>
    </r>
    <r>
      <rPr>
        <rFont val="Calibri"/>
        <color theme="1"/>
        <sz val="9.0"/>
        <vertAlign val="subscript"/>
      </rPr>
      <t>2</t>
    </r>
    <r>
      <rPr>
        <rFont val="Calibri"/>
        <color theme="1"/>
        <sz val="9.0"/>
      </rPr>
      <t>e/TJ</t>
    </r>
  </si>
  <si>
    <t>Default Value, AMS-I.E.</t>
  </si>
  <si>
    <t>Leakage Adjustment Factor (LAF)</t>
  </si>
  <si>
    <t>LAF</t>
  </si>
  <si>
    <t xml:space="preserve">fraction </t>
  </si>
  <si>
    <t>Net Calorific Value of Ethanol</t>
  </si>
  <si>
    <r>
      <rPr>
        <rFont val="Calibri"/>
        <color rgb="FF000000"/>
        <sz val="9.0"/>
      </rPr>
      <t>NCV</t>
    </r>
    <r>
      <rPr>
        <rFont val="Calibri"/>
        <color rgb="FF000000"/>
        <sz val="9.0"/>
        <vertAlign val="subscript"/>
      </rPr>
      <t>eth</t>
    </r>
  </si>
  <si>
    <t>TJ/Tonnes</t>
  </si>
  <si>
    <t>VPA-0002 Certified VPA-DD</t>
  </si>
  <si>
    <t>Density of Ethanol</t>
  </si>
  <si>
    <r>
      <rPr>
        <rFont val="Calibri"/>
        <color rgb="FF000000"/>
        <sz val="9.0"/>
      </rPr>
      <t>D</t>
    </r>
    <r>
      <rPr>
        <rFont val="Calibri"/>
        <color rgb="FF000000"/>
        <sz val="9.0"/>
        <vertAlign val="subscript"/>
      </rPr>
      <t>ethanol</t>
    </r>
  </si>
  <si>
    <t>Tonnes/kL</t>
  </si>
  <si>
    <t>Efficiency of baseline appliance being replaced</t>
  </si>
  <si>
    <r>
      <rPr>
        <rFont val="Calibri"/>
        <color rgb="FF000000"/>
        <sz val="9.0"/>
      </rPr>
      <t>h</t>
    </r>
    <r>
      <rPr>
        <rFont val="Calibri"/>
        <color rgb="FF000000"/>
        <sz val="9.0"/>
        <vertAlign val="subscript"/>
      </rPr>
      <t>old,i</t>
    </r>
  </si>
  <si>
    <t>Conservative Default Value (20%) as per AMS-I.E.</t>
  </si>
  <si>
    <t>Average annual consumption of woody biomass per person before the start of the project activity</t>
  </si>
  <si>
    <r>
      <rPr>
        <rFont val="Calibri"/>
        <color rgb="FF000000"/>
        <sz val="9.0"/>
      </rPr>
      <t>BC</t>
    </r>
    <r>
      <rPr>
        <rFont val="Calibri"/>
        <color rgb="FF000000"/>
        <sz val="9.0"/>
        <vertAlign val="subscript"/>
      </rPr>
      <t>BL,PP,y</t>
    </r>
  </si>
  <si>
    <t>Tonnes/person/year</t>
  </si>
  <si>
    <t>Average number of persons served per household</t>
  </si>
  <si>
    <r>
      <rPr>
        <rFont val="Calibri"/>
        <i/>
        <color rgb="FF000000"/>
        <sz val="9.0"/>
      </rPr>
      <t>N</t>
    </r>
    <r>
      <rPr>
        <rFont val="Calibri"/>
        <i/>
        <color rgb="FF000000"/>
        <sz val="9.0"/>
        <vertAlign val="subscript"/>
      </rPr>
      <t>p,HH</t>
    </r>
  </si>
  <si>
    <t>persons/household</t>
  </si>
  <si>
    <t>Project Emission Factor for Bioethanol Production</t>
  </si>
  <si>
    <r>
      <rPr>
        <rFont val="Calibri"/>
        <color rgb="FF000000"/>
        <sz val="9.0"/>
      </rPr>
      <t>EF</t>
    </r>
    <r>
      <rPr>
        <rFont val="Calibri"/>
        <color rgb="FF000000"/>
        <sz val="9.0"/>
        <vertAlign val="subscript"/>
      </rPr>
      <t>bioethanol_production</t>
    </r>
  </si>
  <si>
    <t>g CO2e/Litre of Bioethanol</t>
  </si>
  <si>
    <t>Efficiency of bioethanol KOKO Cooker</t>
  </si>
  <si>
    <r>
      <rPr>
        <rFont val="Calibri"/>
        <color rgb="FF000000"/>
        <sz val="9.0"/>
      </rPr>
      <t>h</t>
    </r>
    <r>
      <rPr>
        <rFont val="Calibri"/>
        <color rgb="FF000000"/>
        <sz val="9.0"/>
        <vertAlign val="subscript"/>
      </rPr>
      <t>Eth</t>
    </r>
  </si>
  <si>
    <t>%</t>
  </si>
  <si>
    <t>Emission factor for electricity generation</t>
  </si>
  <si>
    <r>
      <rPr>
        <rFont val="Calibri"/>
        <color rgb="FF000000"/>
        <sz val="9.0"/>
      </rPr>
      <t>EF</t>
    </r>
    <r>
      <rPr>
        <rFont val="Calibri"/>
        <color rgb="FF000000"/>
        <sz val="9.0"/>
        <vertAlign val="subscript"/>
      </rPr>
      <t>EF,j,y</t>
    </r>
  </si>
  <si>
    <t>Tonnes CO2e/MWh</t>
  </si>
  <si>
    <t>Average technical transmission and distribution losses for providing electricity</t>
  </si>
  <si>
    <r>
      <rPr>
        <rFont val="Calibri"/>
        <color rgb="FF000000"/>
        <sz val="9.0"/>
      </rPr>
      <t>TDL</t>
    </r>
    <r>
      <rPr>
        <rFont val="Calibri"/>
        <color rgb="FF000000"/>
        <sz val="9.0"/>
        <vertAlign val="subscript"/>
      </rPr>
      <t>j,y</t>
    </r>
  </si>
  <si>
    <t>Default CO2 emission factor for freight transportation</t>
  </si>
  <si>
    <r>
      <rPr>
        <rFont val="Calibri"/>
        <color rgb="FF000000"/>
        <sz val="9.0"/>
      </rPr>
      <t>EF</t>
    </r>
    <r>
      <rPr>
        <rFont val="Calibri"/>
        <color rgb="FF000000"/>
        <sz val="9.0"/>
        <vertAlign val="subscript"/>
      </rPr>
      <t>CO2,f</t>
    </r>
  </si>
  <si>
    <t>g CO2e/tonne-km</t>
  </si>
  <si>
    <t>Monitoring Period Start Date</t>
  </si>
  <si>
    <t>MP_St_Date</t>
  </si>
  <si>
    <t>Date</t>
  </si>
  <si>
    <t>Monitoring Period End Date</t>
  </si>
  <si>
    <t>MP_End_Date</t>
  </si>
  <si>
    <t>Duration of Monitoring Period</t>
  </si>
  <si>
    <t>MP_Years</t>
  </si>
  <si>
    <t>Years</t>
  </si>
  <si>
    <t>Calculated</t>
  </si>
  <si>
    <t>Cumulative Sale of Cookstoves in Households</t>
  </si>
  <si>
    <t>Ntot,HH</t>
  </si>
  <si>
    <t>Cooker Database</t>
  </si>
  <si>
    <t>Sum of stove years of the operational stoves</t>
  </si>
  <si>
    <t>Avg Fraction of year(s) the cookstove is operational in Household during the monitoring period</t>
  </si>
  <si>
    <t>Stoveyear(HH)</t>
  </si>
  <si>
    <t>Years/cookstove</t>
  </si>
  <si>
    <t>*//Monitoring Parameter</t>
  </si>
  <si>
    <t>Percentage of Operating Cookstoves based on survey</t>
  </si>
  <si>
    <t>*//Annual Survey Results 2022</t>
  </si>
  <si>
    <t xml:space="preserve">Number of project devices in households of type i and batch j operating during year y </t>
  </si>
  <si>
    <r>
      <rPr>
        <rFont val="Calibri"/>
        <color rgb="FF000000"/>
        <sz val="9.0"/>
      </rPr>
      <t>N</t>
    </r>
    <r>
      <rPr>
        <rFont val="Calibri"/>
        <color rgb="FF000000"/>
        <sz val="9.0"/>
        <vertAlign val="subscript"/>
      </rPr>
      <t>HH</t>
    </r>
  </si>
  <si>
    <t>Average Percentage Usage Rate of Baseline Appliance</t>
  </si>
  <si>
    <t>Total Number of KOKOpoints Installed</t>
  </si>
  <si>
    <r>
      <rPr>
        <rFont val="Calibri"/>
        <color rgb="FF000000"/>
        <sz val="9.0"/>
      </rPr>
      <t>N</t>
    </r>
    <r>
      <rPr>
        <rFont val="Calibri"/>
        <color rgb="FF000000"/>
        <sz val="9.0"/>
        <vertAlign val="subscript"/>
      </rPr>
      <t>KP</t>
    </r>
  </si>
  <si>
    <t>KOKOpoints</t>
  </si>
  <si>
    <t>Power Consumption of KOKOpoint</t>
  </si>
  <si>
    <t>kW</t>
  </si>
  <si>
    <t>KOKOpoint specification</t>
  </si>
  <si>
    <t>Kokopoint Specifications</t>
  </si>
  <si>
    <t>Operational Hours of KOKOpoint</t>
  </si>
  <si>
    <t>Hours</t>
  </si>
  <si>
    <t>Default as per Tool 5</t>
  </si>
  <si>
    <t>Standard Hours</t>
  </si>
  <si>
    <t>Total Mass of freight transported in freight transportation activity f in monitoring period m</t>
  </si>
  <si>
    <r>
      <rPr>
        <rFont val="Calibri"/>
        <color rgb="FF000000"/>
        <sz val="9.0"/>
      </rPr>
      <t>FR</t>
    </r>
    <r>
      <rPr>
        <rFont val="Calibri"/>
        <color rgb="FF000000"/>
        <sz val="9.0"/>
        <vertAlign val="subscript"/>
      </rPr>
      <t>f,m</t>
    </r>
  </si>
  <si>
    <t>Tonnes</t>
  </si>
  <si>
    <t>SDG-3 Parameters</t>
  </si>
  <si>
    <t>Proportion of Samples experiencing reduction in smoke</t>
  </si>
  <si>
    <t>percent</t>
  </si>
  <si>
    <t>Number of KOKO Users /households experiencing reduction in the indoor air pollution in their kitchen</t>
  </si>
  <si>
    <t>NOTE</t>
  </si>
  <si>
    <t>1. Customer Database Workbook is submitted to VVB</t>
  </si>
  <si>
    <t>2. Summary of Annual Survey for the year 2022 is submitted to VVB</t>
  </si>
  <si>
    <t>VPA-0002 Fuel Consumption Verification Analysis</t>
  </si>
  <si>
    <t>Approach A: Fuel Consumption - based on Annual Survey Results [1]</t>
  </si>
  <si>
    <t>Comparison of Fuel Estimation Approaches</t>
  </si>
  <si>
    <t>Avg. Daily Fuel Consumption</t>
  </si>
  <si>
    <t>litres/day/HH</t>
  </si>
  <si>
    <t>Approach A</t>
  </si>
  <si>
    <t>Approach B</t>
  </si>
  <si>
    <t>Approach C</t>
  </si>
  <si>
    <t>Avg. Annual Fuel Consumption</t>
  </si>
  <si>
    <t>litres/year/HH</t>
  </si>
  <si>
    <t>Fuel Consumption during MP (Jan-2021 to Mar-2022)</t>
  </si>
  <si>
    <t>Total Cooker Years (Stove_Years) during the MP</t>
  </si>
  <si>
    <t>Percentage Variation</t>
  </si>
  <si>
    <t>Total Fuel Consumption during MP</t>
  </si>
  <si>
    <t>Million Litres</t>
  </si>
  <si>
    <t>Approach B: Fuel Transported - based on Micro-Tanker Records [2]</t>
  </si>
  <si>
    <t>No. of Microtankers</t>
  </si>
  <si>
    <t>No.</t>
  </si>
  <si>
    <t>Total trips of Microtankers</t>
  </si>
  <si>
    <t>Weighted Avg. Capacity of Micro-Tankers</t>
  </si>
  <si>
    <t>Litres</t>
  </si>
  <si>
    <t>Total Fuel Transported during MP (w/t 95% correction factor)</t>
  </si>
  <si>
    <t>Approach C: Fuel Consumption as per Design Parameters</t>
  </si>
  <si>
    <t>Avg. Household Consumption (GS-VPA-DD)</t>
  </si>
  <si>
    <t>Litres/Year</t>
  </si>
  <si>
    <t>Total Cookstove Years</t>
  </si>
  <si>
    <t>Total Fuel Re-filled during the MP</t>
  </si>
  <si>
    <t>After accounting of baseline appliance usage</t>
  </si>
  <si>
    <t>[1] Annual Survey 2022 Record</t>
  </si>
  <si>
    <t xml:space="preserve">[2] Micro-Tankers Trips Company Statement </t>
  </si>
  <si>
    <t>Section I: Vintage-Wise Breakdown of Emissions</t>
  </si>
  <si>
    <t>2022 (August)</t>
  </si>
  <si>
    <t>Baseline Emissions</t>
  </si>
  <si>
    <t>Project Emissions</t>
  </si>
  <si>
    <t>Emission Reductions (VERs)</t>
  </si>
  <si>
    <t>2022 (AUGUST)</t>
  </si>
  <si>
    <t>Cookers Sold (Cum)</t>
  </si>
  <si>
    <t>Cookers</t>
  </si>
  <si>
    <t>Stove_Years (vintage-wise)</t>
  </si>
  <si>
    <t>*//Cooker Database</t>
  </si>
  <si>
    <t>Section II: VPA-0002 Cooker Sales Record</t>
  </si>
  <si>
    <t>VPA-0002: Total Cumulative Sales</t>
  </si>
  <si>
    <t>Cookers B/F</t>
  </si>
  <si>
    <t>Month Start_Date</t>
  </si>
  <si>
    <t>Last_Date</t>
  </si>
  <si>
    <t>Monthly Cooker Sales</t>
  </si>
  <si>
    <t>Cum. Sales</t>
  </si>
  <si>
    <t>Section III: Apportioning Method for allocation to VPAs</t>
  </si>
  <si>
    <t>Number of Micro-Tankers</t>
  </si>
  <si>
    <t>Total Trips</t>
  </si>
  <si>
    <t>Total Distance (kms)</t>
  </si>
  <si>
    <t>Avg. Tanker Capacity (L)</t>
  </si>
  <si>
    <t>VPA Code</t>
  </si>
  <si>
    <t>VPA-0001</t>
  </si>
  <si>
    <t>VPA-0002</t>
  </si>
  <si>
    <t>Cookstove Sold</t>
  </si>
  <si>
    <t>*// Cooker Database</t>
  </si>
  <si>
    <t>Cookstove Years</t>
  </si>
  <si>
    <t>Allocated MT Trips</t>
  </si>
  <si>
    <t>*//Based on relative share of Stove_Years of each VPA</t>
  </si>
  <si>
    <t>Allocated Distance (km)</t>
  </si>
  <si>
    <t>Allocated Fuel Volume (ML)</t>
  </si>
  <si>
    <t>*//Based on relative share of allocated trips for each VPA; used for project emissions</t>
  </si>
  <si>
    <t>Fuel Volume after correction factor (ML)</t>
  </si>
  <si>
    <t>*//Adjusted for 5% correction factor for fuel deadstock; used for cross-check of survey results</t>
  </si>
  <si>
    <t>CPA-0002 Emission Reduction Calculation Summary</t>
  </si>
  <si>
    <t>Ex-Ante Estimation of Emission Reduction</t>
  </si>
  <si>
    <t>Particulars</t>
  </si>
  <si>
    <t>Emission Reduction</t>
  </si>
  <si>
    <t>Emission Reduction (tCO2)</t>
  </si>
  <si>
    <t>Emissio Reduction (as per Actual Sale)</t>
  </si>
  <si>
    <t xml:space="preserve">Household Baseline Emissions </t>
  </si>
  <si>
    <t>Annual Estimate (tCO2/year)</t>
  </si>
  <si>
    <t>Project Emissions due to Electricity Consumption</t>
  </si>
  <si>
    <t>Number of Days in the MP (Days)</t>
  </si>
  <si>
    <t>Project Emissions due to Transport</t>
  </si>
  <si>
    <r>
      <rPr>
        <rFont val="Calibri"/>
        <b/>
        <color theme="1"/>
        <sz val="11.0"/>
      </rPr>
      <t>Emission Reduction Estimate for the MP (tonnes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e)</t>
    </r>
  </si>
  <si>
    <t>Project Emissions due to Bioethanol Production</t>
  </si>
  <si>
    <r>
      <rPr>
        <rFont val="Calibri"/>
        <b/>
        <color theme="1"/>
        <sz val="11.0"/>
      </rPr>
      <t>Total (tonnes 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e)</t>
    </r>
  </si>
  <si>
    <t>Household Baseline Emission Calculation Approach (Indicative)</t>
  </si>
  <si>
    <t>Para 20, AMS-I.E</t>
  </si>
  <si>
    <t>BE(y) =</t>
  </si>
  <si>
    <t>B(y) x f(NRB) x NCV(biomass) x EF(projected fossil fuel)</t>
  </si>
  <si>
    <t>Para 21, AMS-I.E. - Option (b) &amp; ( c)</t>
  </si>
  <si>
    <t>B(y) =</t>
  </si>
  <si>
    <t>N(HH) x N(p,HH) x {BC(BL,pp,y) - BC(PJ,pp,y)}</t>
  </si>
  <si>
    <t>Total Sale of Cookstoves in Households</t>
  </si>
  <si>
    <r>
      <rPr>
        <rFont val="Calibri"/>
        <color rgb="FF000000"/>
        <sz val="9.0"/>
      </rPr>
      <t>N</t>
    </r>
    <r>
      <rPr>
        <rFont val="Calibri"/>
        <color rgb="FF000000"/>
        <sz val="9.0"/>
        <vertAlign val="subscript"/>
      </rPr>
      <t>tot,HH</t>
    </r>
  </si>
  <si>
    <r>
      <rPr>
        <rFont val="Calibri"/>
        <color rgb="FF000000"/>
        <sz val="9.0"/>
      </rPr>
      <t>Stove</t>
    </r>
    <r>
      <rPr>
        <rFont val="Calibri"/>
        <color rgb="FF000000"/>
        <sz val="9.0"/>
        <vertAlign val="subscript"/>
      </rPr>
      <t>year</t>
    </r>
    <r>
      <rPr>
        <rFont val="Calibri"/>
        <color rgb="FF000000"/>
        <sz val="9.0"/>
      </rPr>
      <t>(HH)</t>
    </r>
  </si>
  <si>
    <r>
      <rPr>
        <rFont val="Calibri"/>
        <color theme="1"/>
        <sz val="9.0"/>
      </rPr>
      <t xml:space="preserve">Average annual consumption of woody biomass per person before the start of the project activity, </t>
    </r>
    <r>
      <rPr>
        <rFont val="Calibri"/>
        <b/>
        <color theme="1"/>
        <sz val="9.0"/>
      </rPr>
      <t>BC</t>
    </r>
    <r>
      <rPr>
        <rFont val="Calibri"/>
        <b/>
        <color theme="1"/>
        <sz val="9.0"/>
        <vertAlign val="subscript"/>
      </rPr>
      <t>BL,PP,Y</t>
    </r>
  </si>
  <si>
    <r>
      <rPr>
        <rFont val="Calibri"/>
        <color rgb="FF000000"/>
        <sz val="9.0"/>
      </rPr>
      <t>BC</t>
    </r>
    <r>
      <rPr>
        <rFont val="Calibri"/>
        <color rgb="FF000000"/>
        <sz val="9.0"/>
        <vertAlign val="subscript"/>
      </rPr>
      <t>BL,PP,y</t>
    </r>
  </si>
  <si>
    <t>tonnes/person/year</t>
  </si>
  <si>
    <t xml:space="preserve">Average annual consumption of woody biomass in the pre-project devices during the project activity, if it is found that pre-project devices were not completely displaced but continue to be used to some extent </t>
  </si>
  <si>
    <r>
      <rPr>
        <rFont val="Calibri"/>
        <color rgb="FF000000"/>
        <sz val="9.0"/>
      </rPr>
      <t>BC</t>
    </r>
    <r>
      <rPr>
        <rFont val="Calibri"/>
        <color rgb="FF000000"/>
        <sz val="9.0"/>
        <vertAlign val="subscript"/>
      </rPr>
      <t>PJ,PP,y</t>
    </r>
  </si>
  <si>
    <t>tonnes/person/Year</t>
  </si>
  <si>
    <t>Net per capita Woody Biomass displaced by PoA</t>
  </si>
  <si>
    <r>
      <rPr>
        <rFont val="Calibri"/>
        <color rgb="FF000000"/>
        <sz val="9.0"/>
      </rPr>
      <t>BC</t>
    </r>
    <r>
      <rPr>
        <rFont val="Calibri"/>
        <color rgb="FF000000"/>
        <sz val="9.0"/>
        <vertAlign val="subscript"/>
      </rPr>
      <t>BL,PP,y</t>
    </r>
    <r>
      <rPr>
        <rFont val="Calibri"/>
        <color rgb="FF000000"/>
        <sz val="9.0"/>
      </rPr>
      <t xml:space="preserve"> - BC</t>
    </r>
    <r>
      <rPr>
        <rFont val="Calibri"/>
        <color rgb="FF000000"/>
        <sz val="9.0"/>
        <vertAlign val="subscript"/>
      </rPr>
      <t>PJ,PP,y</t>
    </r>
  </si>
  <si>
    <t>Fraction of Non-renewable Biomass</t>
  </si>
  <si>
    <r>
      <rPr>
        <rFont val="Calibri"/>
        <color theme="1"/>
        <sz val="9.0"/>
      </rPr>
      <t>f</t>
    </r>
    <r>
      <rPr>
        <rFont val="Calibri"/>
        <color theme="1"/>
        <sz val="9.0"/>
        <vertAlign val="subscript"/>
      </rPr>
      <t>NRB,y</t>
    </r>
  </si>
  <si>
    <t>Net Calorific Value of Woody Biomass</t>
  </si>
  <si>
    <r>
      <rPr>
        <rFont val="Calibri"/>
        <color theme="1"/>
        <sz val="9.0"/>
      </rPr>
      <t>NCV</t>
    </r>
    <r>
      <rPr>
        <rFont val="Calibri"/>
        <color theme="1"/>
        <sz val="9.0"/>
        <vertAlign val="subscript"/>
      </rPr>
      <t>Biomass</t>
    </r>
  </si>
  <si>
    <t>Emission Factor of Fossil Fuel</t>
  </si>
  <si>
    <r>
      <rPr>
        <rFont val="Calibri"/>
        <color theme="1"/>
        <sz val="9.0"/>
      </rPr>
      <t>EF</t>
    </r>
    <r>
      <rPr>
        <rFont val="Calibri"/>
        <color theme="1"/>
        <sz val="9.0"/>
        <vertAlign val="subscript"/>
      </rPr>
      <t>projected fossil fuel</t>
    </r>
  </si>
  <si>
    <t>Avg Fraction of year(s) the cookstove is operational in Household during the monitoring period,</t>
  </si>
  <si>
    <t xml:space="preserve"> Stoveyear(HH)</t>
  </si>
  <si>
    <t>Per Capita Emission Reductions during the Monitoring Period</t>
  </si>
  <si>
    <t>tCO2/person</t>
  </si>
  <si>
    <t>Baseline Emissions from domestic use (Households)</t>
  </si>
  <si>
    <t>BE</t>
  </si>
  <si>
    <t>tCO2/yr</t>
  </si>
  <si>
    <t>Project Emission Calculation Approach</t>
  </si>
  <si>
    <t>A</t>
  </si>
  <si>
    <r>
      <rPr>
        <rFont val="Calibri"/>
        <i/>
        <color theme="1"/>
        <sz val="11.0"/>
      </rPr>
      <t>PE</t>
    </r>
    <r>
      <rPr>
        <rFont val="Calibri"/>
        <i/>
        <color theme="1"/>
        <sz val="11.0"/>
        <vertAlign val="subscript"/>
      </rPr>
      <t>EC,y</t>
    </r>
    <r>
      <rPr>
        <rFont val="Calibri"/>
        <i/>
        <color theme="1"/>
        <sz val="11.0"/>
      </rPr>
      <t xml:space="preserve"> =</t>
    </r>
  </si>
  <si>
    <r>
      <rPr>
        <rFont val="Calibri"/>
        <i/>
        <color theme="1"/>
        <sz val="11.0"/>
      </rPr>
      <t>N</t>
    </r>
    <r>
      <rPr>
        <rFont val="Calibri"/>
        <i/>
        <color theme="1"/>
        <sz val="11.0"/>
        <vertAlign val="subscript"/>
      </rPr>
      <t>KP</t>
    </r>
    <r>
      <rPr>
        <rFont val="Calibri"/>
        <i/>
        <color theme="1"/>
        <sz val="11.0"/>
      </rPr>
      <t xml:space="preserve"> x EC</t>
    </r>
    <r>
      <rPr>
        <rFont val="Calibri"/>
        <i/>
        <color theme="1"/>
        <sz val="11.0"/>
        <vertAlign val="subscript"/>
      </rPr>
      <t>PJ,j,y</t>
    </r>
    <r>
      <rPr>
        <rFont val="Calibri"/>
        <i/>
        <color theme="1"/>
        <sz val="11.0"/>
      </rPr>
      <t xml:space="preserve"> x EF</t>
    </r>
    <r>
      <rPr>
        <rFont val="Calibri"/>
        <i/>
        <color theme="1"/>
        <sz val="11.0"/>
        <vertAlign val="subscript"/>
      </rPr>
      <t>EF,j,y</t>
    </r>
    <r>
      <rPr>
        <rFont val="Calibri"/>
        <i/>
        <color theme="1"/>
        <sz val="11.0"/>
      </rPr>
      <t xml:space="preserve"> x (1+TDL</t>
    </r>
    <r>
      <rPr>
        <rFont val="Calibri"/>
        <i/>
        <color theme="1"/>
        <sz val="11.0"/>
        <vertAlign val="subscript"/>
      </rPr>
      <t>j,y</t>
    </r>
    <r>
      <rPr>
        <rFont val="Calibri"/>
        <i/>
        <color theme="1"/>
        <sz val="11.0"/>
      </rPr>
      <t>)</t>
    </r>
  </si>
  <si>
    <t>B.</t>
  </si>
  <si>
    <r>
      <rPr>
        <rFont val="Calibri"/>
        <i/>
        <color theme="1"/>
        <sz val="11.0"/>
      </rPr>
      <t>PE</t>
    </r>
    <r>
      <rPr>
        <rFont val="Calibri"/>
        <i/>
        <color theme="1"/>
        <sz val="11.0"/>
        <vertAlign val="subscript"/>
      </rPr>
      <t>TR,m</t>
    </r>
    <r>
      <rPr>
        <rFont val="Calibri"/>
        <i/>
        <color theme="1"/>
        <sz val="11.0"/>
      </rPr>
      <t xml:space="preserve"> = </t>
    </r>
  </si>
  <si>
    <r>
      <rPr>
        <rFont val="Calibri"/>
        <i/>
        <color theme="1"/>
        <sz val="11.0"/>
      </rPr>
      <t>∑ D</t>
    </r>
    <r>
      <rPr>
        <rFont val="Calibri"/>
        <i/>
        <color theme="1"/>
        <sz val="11.0"/>
        <vertAlign val="subscript"/>
      </rPr>
      <t>f,m</t>
    </r>
    <r>
      <rPr>
        <rFont val="Calibri"/>
        <i/>
        <color theme="1"/>
        <sz val="11.0"/>
      </rPr>
      <t xml:space="preserve"> x FR</t>
    </r>
    <r>
      <rPr>
        <rFont val="Calibri"/>
        <i/>
        <color theme="1"/>
        <sz val="11.0"/>
        <vertAlign val="subscript"/>
      </rPr>
      <t>f,m</t>
    </r>
    <r>
      <rPr>
        <rFont val="Calibri"/>
        <i/>
        <color theme="1"/>
        <sz val="11.0"/>
      </rPr>
      <t xml:space="preserve"> x EF</t>
    </r>
    <r>
      <rPr>
        <rFont val="Calibri"/>
        <i/>
        <color theme="1"/>
        <sz val="11.0"/>
        <vertAlign val="subscript"/>
      </rPr>
      <t>CO2,f</t>
    </r>
    <r>
      <rPr>
        <rFont val="Calibri"/>
        <i/>
        <color theme="1"/>
        <sz val="11.0"/>
      </rPr>
      <t xml:space="preserve"> x 10</t>
    </r>
    <r>
      <rPr>
        <rFont val="Calibri"/>
        <i/>
        <color theme="1"/>
        <sz val="11.0"/>
        <vertAlign val="superscript"/>
      </rPr>
      <t>-6</t>
    </r>
  </si>
  <si>
    <t xml:space="preserve">C. </t>
  </si>
  <si>
    <t>Para 22, AMS-I.E</t>
  </si>
  <si>
    <r>
      <rPr>
        <rFont val="Calibri"/>
        <i/>
        <color theme="1"/>
        <sz val="11.0"/>
      </rPr>
      <t>PE</t>
    </r>
    <r>
      <rPr>
        <rFont val="Calibri"/>
        <i/>
        <color theme="1"/>
        <sz val="11.0"/>
        <vertAlign val="subscript"/>
      </rPr>
      <t>bioeth-prod</t>
    </r>
    <r>
      <rPr>
        <rFont val="Calibri"/>
        <i/>
        <color theme="1"/>
        <sz val="11.0"/>
      </rPr>
      <t xml:space="preserve"> =</t>
    </r>
  </si>
  <si>
    <r>
      <rPr>
        <rFont val="Calibri"/>
        <i/>
        <color theme="1"/>
        <sz val="11.0"/>
      </rPr>
      <t>Q</t>
    </r>
    <r>
      <rPr>
        <rFont val="Calibri"/>
        <i/>
        <color theme="1"/>
        <sz val="11.0"/>
        <vertAlign val="subscript"/>
      </rPr>
      <t>Eth</t>
    </r>
    <r>
      <rPr>
        <rFont val="Calibri"/>
        <i/>
        <color theme="1"/>
        <sz val="11.0"/>
      </rPr>
      <t xml:space="preserve"> x EF(bioethanol production)</t>
    </r>
  </si>
  <si>
    <t>A. Project Emissions due to Electricity Consumption</t>
  </si>
  <si>
    <t>No. of KPs</t>
  </si>
  <si>
    <t>KP Wattage (kW)</t>
  </si>
  <si>
    <t>KP Operating Hours</t>
  </si>
  <si>
    <t>Total Annual Consumption (Kwh)</t>
  </si>
  <si>
    <t>Project Emissions 
(tCO2)</t>
  </si>
  <si>
    <t>B. Project Emissions due to fuel transportation</t>
  </si>
  <si>
    <t>Total Trips during MP</t>
  </si>
  <si>
    <t>Apportioned Trips for VPA-0002</t>
  </si>
  <si>
    <t>Distance Travelled 
(km)</t>
  </si>
  <si>
    <t>Capacity 
(Litres)</t>
  </si>
  <si>
    <t>Capacity 
(tons)</t>
  </si>
  <si>
    <t>Vehicle Type</t>
  </si>
  <si>
    <t>Emission Factor</t>
  </si>
  <si>
    <t>LCV</t>
  </si>
  <si>
    <t>C. Project Emissions due to Bioethanol Production</t>
  </si>
  <si>
    <t>Fuel Quantity (ML)</t>
  </si>
  <si>
    <t>EF of Bioethanol Production (tonnes/ML)</t>
  </si>
  <si>
    <t>D. Total Project Emissions</t>
  </si>
  <si>
    <t>Total Project Emissions</t>
  </si>
  <si>
    <t>Sustainable Development Goals Targeted</t>
  </si>
  <si>
    <t xml:space="preserve">SDG Impact </t>
  </si>
  <si>
    <t>Amount Achieved</t>
  </si>
  <si>
    <t>Annual Ex-Ante Estimates (VPA-DD)</t>
  </si>
  <si>
    <t>Ex-Ante Estimates for MP4</t>
  </si>
  <si>
    <t>SDG 13 Climate Action (mandatory)</t>
  </si>
  <si>
    <t xml:space="preserve">GHG Emissions Reductions </t>
  </si>
  <si>
    <t>SDG 3 Ensure healthy lives and promote well-being for all at all ages</t>
  </si>
  <si>
    <t>SDG 5 Gender Equality</t>
  </si>
  <si>
    <t>Number of women in managerial positions</t>
  </si>
  <si>
    <t>SDG 7 Access to Clean Energy</t>
  </si>
  <si>
    <t>Proportion of population or number of households with primary reliance on clean fuels and technology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</si>
</sst>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2">
    <numFmt numFmtId="164" formatCode="_(* #,##0.0000_);_(* \(#,##0.0000\);_(* &quot;-&quot;??_);_(@_)"/>
    <numFmt numFmtId="165" formatCode="_(* #,##0.0_);_(* \(#,##0.0\);_(* &quot;-&quot;??_);_(@_)"/>
    <numFmt numFmtId="166" formatCode="_(* #,##0.000_);_(* \(#,##0.000\);_(* &quot;-&quot;??_);_(@_)"/>
    <numFmt numFmtId="167" formatCode="_(* #,##0.00_);_(* \(#,##0.00\);_(* &quot;-&quot;??_);_(@_)"/>
    <numFmt numFmtId="168" formatCode="d/m/yyyy"/>
    <numFmt numFmtId="169" formatCode="_ * #,##0.000_ ;_ * \-#,##0.000_ ;_ * &quot;-&quot;??_ ;_ @_ "/>
    <numFmt numFmtId="170" formatCode="_ * #,##0.00_ ;_ * \-#,##0.00_ ;_ * &quot;-&quot;??_ ;_ @_ "/>
    <numFmt numFmtId="171" formatCode="0.000"/>
    <numFmt numFmtId="172" formatCode="_-* #,##0.00_-;\-* #,##0.00_-;_-* &quot;-&quot;??_-;_-@"/>
    <numFmt numFmtId="173" formatCode="_ * #,##0_ ;_ * \-#,##0_ ;_ * &quot;-&quot;??_ ;_ @_ "/>
    <numFmt numFmtId="174" formatCode="[$-409]dd\-mmm\-yy"/>
    <numFmt numFmtId="175" formatCode="0.0000"/>
  </numFmts>
  <fonts count="35">
    <font>
      <sz val="10.0"/>
      <color rgb="FF000000"/>
      <name val="Arial"/>
      <scheme val="minor"/>
    </font>
    <font>
      <b/>
      <sz val="10.0"/>
      <color rgb="FF000000"/>
      <name val="Arial"/>
    </font>
    <font/>
    <font>
      <sz val="11.0"/>
      <color rgb="FF000000"/>
      <name val="Calibri"/>
    </font>
    <font>
      <b/>
      <sz val="11.0"/>
      <color rgb="FF000000"/>
      <name val="Calibri"/>
    </font>
    <font>
      <sz val="12.0"/>
      <color rgb="FF000000"/>
      <name val="Calibri"/>
    </font>
    <font>
      <b/>
      <sz val="12.0"/>
      <color rgb="FF000000"/>
      <name val="Calibri"/>
    </font>
    <font>
      <b/>
      <i/>
      <sz val="11.0"/>
      <color theme="0"/>
      <name val="Calibri"/>
    </font>
    <font>
      <sz val="9.0"/>
      <color rgb="FF000000"/>
      <name val="Calibri"/>
    </font>
    <font>
      <b/>
      <sz val="11.0"/>
      <color theme="0"/>
      <name val="Calibri"/>
    </font>
    <font>
      <sz val="10.0"/>
      <color rgb="FF000000"/>
      <name val="Calibri"/>
    </font>
    <font>
      <sz val="9.0"/>
      <color theme="1"/>
      <name val="Calibri"/>
    </font>
    <font>
      <i/>
      <sz val="9.0"/>
      <color rgb="FF000000"/>
      <name val="Calibri"/>
    </font>
    <font>
      <sz val="9.0"/>
      <color theme="0"/>
      <name val="Calibri"/>
    </font>
    <font>
      <b/>
      <i/>
      <sz val="9.0"/>
      <color rgb="FF000000"/>
      <name val="Calibri"/>
    </font>
    <font>
      <b/>
      <i/>
      <sz val="9.0"/>
      <color theme="1"/>
      <name val="Calibri"/>
    </font>
    <font>
      <b/>
      <sz val="11.0"/>
      <color rgb="FFFFFFFF"/>
      <name val="Calibri"/>
    </font>
    <font>
      <b/>
      <sz val="10.0"/>
      <color rgb="FF000000"/>
      <name val="Calibri"/>
    </font>
    <font>
      <b/>
      <sz val="10.0"/>
      <color rgb="FF083C92"/>
      <name val="Calibri"/>
    </font>
    <font>
      <sz val="10.0"/>
      <color rgb="FF083C92"/>
      <name val="Calibri"/>
    </font>
    <font>
      <sz val="10.0"/>
      <color rgb="FF000000"/>
      <name val="Arial"/>
    </font>
    <font>
      <sz val="10.0"/>
      <color theme="1"/>
      <name val="Arial"/>
    </font>
    <font>
      <b/>
      <sz val="12.0"/>
      <color rgb="FF083C92"/>
      <name val="Calibri"/>
    </font>
    <font>
      <i/>
      <sz val="10.0"/>
      <color rgb="FF000000"/>
      <name val="Calibri"/>
    </font>
    <font>
      <i/>
      <sz val="11.0"/>
      <color rgb="FF0000FF"/>
      <name val="Calibri"/>
    </font>
    <font>
      <b/>
      <sz val="11.0"/>
      <color theme="1"/>
      <name val="Calibri"/>
    </font>
    <font>
      <sz val="11.0"/>
      <color rgb="FF000000"/>
      <name val="Arial"/>
    </font>
    <font>
      <sz val="11.0"/>
      <color theme="1"/>
      <name val="Calibri"/>
    </font>
    <font>
      <i/>
      <sz val="11.0"/>
      <color theme="1"/>
      <name val="Calibri"/>
    </font>
    <font>
      <b/>
      <sz val="9.0"/>
      <color rgb="FF000000"/>
      <name val="Calibri"/>
    </font>
    <font>
      <b/>
      <sz val="9.0"/>
      <color theme="1"/>
      <name val="Calibri"/>
    </font>
    <font>
      <b/>
      <i/>
      <sz val="11.0"/>
      <color theme="1"/>
      <name val="Calibri"/>
    </font>
    <font>
      <sz val="9.0"/>
      <color rgb="FF000000"/>
      <name val="Arial"/>
    </font>
    <font>
      <sz val="11.0"/>
      <color rgb="FF4D4D4C"/>
      <name val="Calibri"/>
    </font>
    <font>
      <sz val="11.0"/>
      <color rgb="FF51515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B9BD"/>
        <bgColor rgb="FF00B9BD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medium">
        <color rgb="FFA6A6A6"/>
      </bottom>
    </border>
    <border>
      <top/>
      <bottom style="medium">
        <color rgb="FFA6A6A6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</border>
    <border>
      <left/>
      <right/>
      <top/>
      <bottom style="medium">
        <color rgb="FFA6A6A6"/>
      </bottom>
    </border>
    <border>
      <bottom style="medium">
        <color rgb="FFA6A6A6"/>
      </bottom>
    </border>
  </borders>
  <cellStyleXfs count="1">
    <xf borderId="0" fillId="0" fontId="0" numFmtId="0" applyAlignment="1" applyFont="1"/>
  </cellStyleXfs>
  <cellXfs count="19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ill="1" applyFont="1"/>
    <xf borderId="1" fillId="2" fontId="4" numFmtId="0" xfId="0" applyAlignment="1" applyBorder="1" applyFont="1">
      <alignment horizontal="center"/>
    </xf>
    <xf borderId="5" fillId="2" fontId="3" numFmtId="0" xfId="0" applyBorder="1" applyFont="1"/>
    <xf borderId="6" fillId="2" fontId="4" numFmtId="0" xfId="0" applyBorder="1" applyFont="1"/>
    <xf borderId="5" fillId="2" fontId="4" numFmtId="0" xfId="0" applyBorder="1" applyFont="1"/>
    <xf borderId="6" fillId="2" fontId="3" numFmtId="0" xfId="0" applyAlignment="1" applyBorder="1" applyFont="1">
      <alignment horizontal="right" vertical="center"/>
    </xf>
    <xf borderId="7" fillId="0" fontId="3" numFmtId="0" xfId="0" applyAlignment="1" applyBorder="1" applyFont="1">
      <alignment horizontal="right" vertical="center"/>
    </xf>
    <xf borderId="5" fillId="2" fontId="4" numFmtId="0" xfId="0" applyAlignment="1" applyBorder="1" applyFont="1">
      <alignment vertical="center"/>
    </xf>
    <xf borderId="6" fillId="2" fontId="4" numFmtId="0" xfId="0" applyAlignment="1" applyBorder="1" applyFont="1">
      <alignment horizontal="center" vertical="center"/>
    </xf>
    <xf borderId="8" fillId="2" fontId="5" numFmtId="0" xfId="0" applyAlignment="1" applyBorder="1" applyFont="1">
      <alignment vertical="center"/>
    </xf>
    <xf borderId="8" fillId="2" fontId="5" numFmtId="0" xfId="0" applyAlignment="1" applyBorder="1" applyFont="1">
      <alignment horizontal="center" vertical="center"/>
    </xf>
    <xf borderId="8" fillId="2" fontId="5" numFmtId="0" xfId="0" applyBorder="1" applyFont="1"/>
    <xf borderId="8" fillId="2" fontId="6" numFmtId="0" xfId="0" applyBorder="1" applyFont="1"/>
    <xf borderId="4" fillId="0" fontId="6" numFmtId="0" xfId="0" applyBorder="1" applyFont="1"/>
    <xf borderId="3" fillId="0" fontId="6" numFmtId="0" xfId="0" applyBorder="1" applyFont="1"/>
    <xf borderId="9" fillId="0" fontId="6" numFmtId="0" xfId="0" applyBorder="1" applyFont="1"/>
    <xf borderId="6" fillId="2" fontId="3" numFmtId="0" xfId="0" applyAlignment="1" applyBorder="1" applyFont="1">
      <alignment horizontal="left" vertical="center"/>
    </xf>
    <xf borderId="9" fillId="0" fontId="6" numFmtId="17" xfId="0" applyAlignment="1" applyBorder="1" applyFont="1" applyNumberFormat="1">
      <alignment horizontal="left"/>
    </xf>
    <xf borderId="9" fillId="0" fontId="6" numFmtId="0" xfId="0" applyAlignment="1" applyBorder="1" applyFont="1">
      <alignment horizontal="left"/>
    </xf>
    <xf borderId="6" fillId="2" fontId="4" numFmtId="0" xfId="0" applyAlignment="1" applyBorder="1" applyFont="1">
      <alignment horizontal="left" vertical="center"/>
    </xf>
    <xf borderId="7" fillId="0" fontId="5" numFmtId="0" xfId="0" applyAlignment="1" applyBorder="1" applyFont="1">
      <alignment horizontal="left"/>
    </xf>
    <xf borderId="8" fillId="3" fontId="7" numFmtId="0" xfId="0" applyBorder="1" applyFill="1" applyFont="1"/>
    <xf borderId="0" fillId="0" fontId="8" numFmtId="0" xfId="0" applyFont="1"/>
    <xf borderId="8" fillId="3" fontId="9" numFmtId="0" xfId="0" applyBorder="1" applyFont="1"/>
    <xf borderId="0" fillId="0" fontId="10" numFmtId="0" xfId="0" applyFont="1"/>
    <xf borderId="0" fillId="0" fontId="11" numFmtId="0" xfId="0" applyAlignment="1" applyFont="1">
      <alignment horizontal="left" shrinkToFit="0" vertical="top" wrapText="1"/>
    </xf>
    <xf borderId="0" fillId="0" fontId="11" numFmtId="164" xfId="0" applyAlignment="1" applyFont="1" applyNumberFormat="1">
      <alignment horizontal="right" vertical="center"/>
    </xf>
    <xf borderId="0" fillId="0" fontId="11" numFmtId="0" xfId="0" applyAlignment="1" applyFont="1">
      <alignment horizontal="left" vertical="center"/>
    </xf>
    <xf borderId="0" fillId="0" fontId="11" numFmtId="0" xfId="0" applyAlignment="1" applyFont="1">
      <alignment vertical="top"/>
    </xf>
    <xf borderId="0" fillId="0" fontId="11" numFmtId="165" xfId="0" applyAlignment="1" applyFont="1" applyNumberFormat="1">
      <alignment horizontal="right" vertical="center"/>
    </xf>
    <xf borderId="0" fillId="0" fontId="11" numFmtId="166" xfId="0" applyAlignment="1" applyFont="1" applyNumberFormat="1">
      <alignment horizontal="right" vertical="center"/>
    </xf>
    <xf borderId="0" fillId="0" fontId="11" numFmtId="0" xfId="0" applyAlignment="1" applyFont="1">
      <alignment shrinkToFit="0" vertical="top" wrapText="1"/>
    </xf>
    <xf borderId="0" fillId="0" fontId="11" numFmtId="2" xfId="0" applyAlignment="1" applyFont="1" applyNumberFormat="1">
      <alignment horizontal="right" vertical="center"/>
    </xf>
    <xf borderId="0" fillId="0" fontId="11" numFmtId="167" xfId="0" applyAlignment="1" applyFont="1" applyNumberFormat="1">
      <alignment horizontal="right" vertical="center"/>
    </xf>
    <xf borderId="0" fillId="0" fontId="11" numFmtId="10" xfId="0" applyAlignment="1" applyFont="1" applyNumberFormat="1">
      <alignment horizontal="right" vertical="center"/>
    </xf>
    <xf borderId="0" fillId="0" fontId="8" numFmtId="0" xfId="0" applyAlignment="1" applyFont="1">
      <alignment shrinkToFit="0" wrapText="1"/>
    </xf>
    <xf borderId="0" fillId="0" fontId="8" numFmtId="0" xfId="0" applyAlignment="1" applyFont="1">
      <alignment horizontal="right" vertical="center"/>
    </xf>
    <xf borderId="0" fillId="0" fontId="8" numFmtId="0" xfId="0" applyAlignment="1" applyFont="1">
      <alignment horizontal="left" vertical="center"/>
    </xf>
    <xf borderId="0" fillId="0" fontId="12" numFmtId="0" xfId="0" applyFont="1"/>
    <xf borderId="0" fillId="0" fontId="8" numFmtId="9" xfId="0" applyAlignment="1" applyFont="1" applyNumberFormat="1">
      <alignment horizontal="right" vertical="center"/>
    </xf>
    <xf borderId="0" fillId="0" fontId="8" numFmtId="168" xfId="0" applyFont="1" applyNumberFormat="1"/>
    <xf borderId="0" fillId="0" fontId="8" numFmtId="169" xfId="0" applyFont="1" applyNumberFormat="1"/>
    <xf borderId="0" fillId="0" fontId="8" numFmtId="170" xfId="0" applyFont="1" applyNumberFormat="1"/>
    <xf borderId="0" fillId="0" fontId="8" numFmtId="171" xfId="0" applyFont="1" applyNumberFormat="1"/>
    <xf borderId="0" fillId="0" fontId="8" numFmtId="10" xfId="0" applyFont="1" applyNumberFormat="1"/>
    <xf borderId="0" fillId="0" fontId="8" numFmtId="1" xfId="0" applyFont="1" applyNumberFormat="1"/>
    <xf borderId="0" fillId="0" fontId="11" numFmtId="0" xfId="0" applyAlignment="1" applyFont="1">
      <alignment shrinkToFit="0" wrapText="1"/>
    </xf>
    <xf borderId="0" fillId="0" fontId="11" numFmtId="0" xfId="0" applyFont="1"/>
    <xf borderId="0" fillId="0" fontId="11" numFmtId="172" xfId="0" applyFont="1" applyNumberFormat="1"/>
    <xf borderId="10" fillId="0" fontId="8" numFmtId="0" xfId="0" applyAlignment="1" applyBorder="1" applyFont="1">
      <alignment shrinkToFit="0" wrapText="1"/>
    </xf>
    <xf borderId="10" fillId="0" fontId="8" numFmtId="0" xfId="0" applyBorder="1" applyFont="1"/>
    <xf borderId="10" fillId="0" fontId="8" numFmtId="2" xfId="0" applyBorder="1" applyFont="1" applyNumberFormat="1"/>
    <xf borderId="11" fillId="3" fontId="9" numFmtId="0" xfId="0" applyAlignment="1" applyBorder="1" applyFont="1">
      <alignment shrinkToFit="0" wrapText="1"/>
    </xf>
    <xf borderId="11" fillId="3" fontId="13" numFmtId="0" xfId="0" applyBorder="1" applyFont="1"/>
    <xf borderId="11" fillId="3" fontId="13" numFmtId="173" xfId="0" applyBorder="1" applyFont="1" applyNumberFormat="1"/>
    <xf borderId="2" fillId="0" fontId="8" numFmtId="0" xfId="0" applyAlignment="1" applyBorder="1" applyFont="1">
      <alignment shrinkToFit="0" wrapText="1"/>
    </xf>
    <xf borderId="2" fillId="0" fontId="8" numFmtId="0" xfId="0" applyBorder="1" applyFont="1"/>
    <xf borderId="2" fillId="0" fontId="8" numFmtId="10" xfId="0" applyBorder="1" applyFont="1" applyNumberFormat="1"/>
    <xf borderId="0" fillId="0" fontId="14" numFmtId="0" xfId="0" applyAlignment="1" applyFont="1">
      <alignment shrinkToFit="0" wrapText="1"/>
    </xf>
    <xf borderId="0" fillId="0" fontId="15" numFmtId="0" xfId="0" applyAlignment="1" applyFont="1">
      <alignment shrinkToFit="0" wrapText="1"/>
    </xf>
    <xf borderId="12" fillId="3" fontId="16" numFmtId="0" xfId="0" applyAlignment="1" applyBorder="1" applyFont="1">
      <alignment shrinkToFit="0" vertical="center" wrapText="1"/>
    </xf>
    <xf borderId="13" fillId="0" fontId="2" numFmtId="0" xfId="0" applyBorder="1" applyFont="1"/>
    <xf borderId="0" fillId="0" fontId="17" numFmtId="0" xfId="0" applyFont="1"/>
    <xf borderId="4" fillId="0" fontId="10" numFmtId="0" xfId="0" applyBorder="1" applyFont="1"/>
    <xf borderId="4" fillId="0" fontId="17" numFmtId="0" xfId="0" applyBorder="1" applyFont="1"/>
    <xf borderId="4" fillId="0" fontId="17" numFmtId="0" xfId="0" applyAlignment="1" applyBorder="1" applyFont="1">
      <alignment shrinkToFit="0" wrapText="1"/>
    </xf>
    <xf borderId="4" fillId="0" fontId="10" numFmtId="171" xfId="0" applyBorder="1" applyFont="1" applyNumberFormat="1"/>
    <xf borderId="4" fillId="0" fontId="17" numFmtId="10" xfId="0" applyBorder="1" applyFont="1" applyNumberFormat="1"/>
    <xf borderId="0" fillId="0" fontId="10" numFmtId="9" xfId="0" applyFont="1" applyNumberFormat="1"/>
    <xf borderId="4" fillId="0" fontId="17" numFmtId="171" xfId="0" applyBorder="1" applyFont="1" applyNumberFormat="1"/>
    <xf borderId="4" fillId="0" fontId="10" numFmtId="2" xfId="0" applyBorder="1" applyFont="1" applyNumberFormat="1"/>
    <xf borderId="4" fillId="0" fontId="10" numFmtId="1" xfId="0" applyBorder="1" applyFont="1" applyNumberFormat="1"/>
    <xf borderId="10" fillId="0" fontId="10" numFmtId="0" xfId="0" applyBorder="1" applyFont="1"/>
    <xf borderId="0" fillId="0" fontId="18" numFmtId="0" xfId="0" applyFont="1"/>
    <xf borderId="4" fillId="0" fontId="19" numFmtId="0" xfId="0" applyBorder="1" applyFont="1"/>
    <xf borderId="4" fillId="0" fontId="18" numFmtId="0" xfId="0" applyBorder="1" applyFont="1"/>
    <xf borderId="4" fillId="0" fontId="18" numFmtId="0" xfId="0" applyAlignment="1" applyBorder="1" applyFont="1">
      <alignment horizontal="right"/>
    </xf>
    <xf borderId="4" fillId="0" fontId="19" numFmtId="167" xfId="0" applyBorder="1" applyFont="1" applyNumberFormat="1"/>
    <xf borderId="4" fillId="0" fontId="19" numFmtId="2" xfId="0" applyBorder="1" applyFont="1" applyNumberFormat="1"/>
    <xf borderId="4" fillId="0" fontId="18" numFmtId="167" xfId="0" applyBorder="1" applyFont="1" applyNumberFormat="1"/>
    <xf borderId="0" fillId="0" fontId="10" numFmtId="2" xfId="0" applyFont="1" applyNumberFormat="1"/>
    <xf borderId="4" fillId="0" fontId="17" numFmtId="2" xfId="0" applyBorder="1" applyFont="1" applyNumberFormat="1"/>
    <xf borderId="0" fillId="0" fontId="20" numFmtId="0" xfId="0" applyFont="1"/>
    <xf borderId="4" fillId="0" fontId="1" numFmtId="0" xfId="0" applyBorder="1" applyFont="1"/>
    <xf borderId="4" fillId="0" fontId="10" numFmtId="174" xfId="0" applyAlignment="1" applyBorder="1" applyFont="1" applyNumberFormat="1">
      <alignment horizontal="center"/>
    </xf>
    <xf borderId="4" fillId="0" fontId="21" numFmtId="0" xfId="0" applyBorder="1" applyFont="1"/>
    <xf borderId="0" fillId="0" fontId="22" numFmtId="0" xfId="0" applyFont="1"/>
    <xf borderId="4" fillId="0" fontId="17" numFmtId="0" xfId="0" applyAlignment="1" applyBorder="1" applyFont="1">
      <alignment horizontal="center" shrinkToFit="0" vertical="center" wrapText="1"/>
    </xf>
    <xf borderId="4" fillId="0" fontId="10" numFmtId="0" xfId="0" applyAlignment="1" applyBorder="1" applyFont="1">
      <alignment horizontal="center"/>
    </xf>
    <xf borderId="4" fillId="0" fontId="10" numFmtId="2" xfId="0" applyAlignment="1" applyBorder="1" applyFont="1" applyNumberFormat="1">
      <alignment horizontal="center"/>
    </xf>
    <xf borderId="4" fillId="0" fontId="17" numFmtId="0" xfId="0" applyAlignment="1" applyBorder="1" applyFont="1">
      <alignment horizontal="center" shrinkToFit="0" wrapText="1"/>
    </xf>
    <xf borderId="4" fillId="0" fontId="17" numFmtId="0" xfId="0" applyAlignment="1" applyBorder="1" applyFont="1">
      <alignment horizontal="center"/>
    </xf>
    <xf borderId="0" fillId="0" fontId="23" numFmtId="0" xfId="0" applyFont="1"/>
    <xf borderId="4" fillId="0" fontId="1" numFmtId="0" xfId="0" applyAlignment="1" applyBorder="1" applyFont="1">
      <alignment horizontal="center" shrinkToFit="0" wrapText="1"/>
    </xf>
    <xf borderId="4" fillId="0" fontId="20" numFmtId="2" xfId="0" applyAlignment="1" applyBorder="1" applyFont="1" applyNumberFormat="1">
      <alignment horizontal="center"/>
    </xf>
    <xf borderId="4" fillId="0" fontId="17" numFmtId="2" xfId="0" applyAlignment="1" applyBorder="1" applyFont="1" applyNumberFormat="1">
      <alignment horizontal="center"/>
    </xf>
    <xf borderId="0" fillId="0" fontId="24" numFmtId="0" xfId="0" applyFont="1"/>
    <xf borderId="8" fillId="3" fontId="24" numFmtId="0" xfId="0" applyBorder="1" applyFont="1"/>
    <xf borderId="14" fillId="0" fontId="25" numFmtId="0" xfId="0" applyAlignment="1" applyBorder="1" applyFont="1">
      <alignment vertical="center"/>
    </xf>
    <xf borderId="15" fillId="0" fontId="25" numFmtId="0" xfId="0" applyAlignment="1" applyBorder="1" applyFont="1">
      <alignment horizontal="left" shrinkToFit="0" vertical="center" wrapText="1"/>
    </xf>
    <xf borderId="16" fillId="0" fontId="25" numFmtId="0" xfId="0" applyAlignment="1" applyBorder="1" applyFont="1">
      <alignment horizontal="left" shrinkToFit="0" vertical="center" wrapText="1"/>
    </xf>
    <xf borderId="14" fillId="0" fontId="25" numFmtId="0" xfId="0" applyBorder="1" applyFont="1"/>
    <xf borderId="15" fillId="0" fontId="25" numFmtId="0" xfId="0" applyAlignment="1" applyBorder="1" applyFont="1">
      <alignment shrinkToFit="0" wrapText="1"/>
    </xf>
    <xf borderId="16" fillId="0" fontId="4" numFmtId="0" xfId="0" applyAlignment="1" applyBorder="1" applyFont="1">
      <alignment shrinkToFit="0" wrapText="1"/>
    </xf>
    <xf borderId="0" fillId="0" fontId="26" numFmtId="0" xfId="0" applyFont="1"/>
    <xf borderId="17" fillId="0" fontId="27" numFmtId="0" xfId="0" applyBorder="1" applyFont="1"/>
    <xf borderId="4" fillId="0" fontId="27" numFmtId="167" xfId="0" applyBorder="1" applyFont="1" applyNumberFormat="1"/>
    <xf borderId="4" fillId="0" fontId="27" numFmtId="0" xfId="0" applyBorder="1" applyFont="1"/>
    <xf borderId="18" fillId="0" fontId="27" numFmtId="0" xfId="0" applyBorder="1" applyFont="1"/>
    <xf borderId="0" fillId="0" fontId="24" numFmtId="170" xfId="0" applyFont="1" applyNumberFormat="1"/>
    <xf borderId="18" fillId="0" fontId="3" numFmtId="170" xfId="0" applyBorder="1" applyFont="1" applyNumberFormat="1"/>
    <xf borderId="17" fillId="0" fontId="27" numFmtId="0" xfId="0" applyAlignment="1" applyBorder="1" applyFont="1">
      <alignment shrinkToFit="0" wrapText="1"/>
    </xf>
    <xf borderId="4" fillId="0" fontId="27" numFmtId="2" xfId="0" applyBorder="1" applyFont="1" applyNumberFormat="1"/>
    <xf borderId="4" fillId="0" fontId="27" numFmtId="172" xfId="0" applyBorder="1" applyFont="1" applyNumberFormat="1"/>
    <xf borderId="18" fillId="0" fontId="3" numFmtId="2" xfId="0" applyBorder="1" applyFont="1" applyNumberFormat="1"/>
    <xf borderId="19" fillId="0" fontId="27" numFmtId="0" xfId="0" applyAlignment="1" applyBorder="1" applyFont="1">
      <alignment shrinkToFit="0" wrapText="1"/>
    </xf>
    <xf borderId="20" fillId="0" fontId="25" numFmtId="0" xfId="0" applyAlignment="1" applyBorder="1" applyFont="1">
      <alignment shrinkToFit="0" wrapText="1"/>
    </xf>
    <xf borderId="21" fillId="0" fontId="25" numFmtId="170" xfId="0" applyBorder="1" applyFont="1" applyNumberFormat="1"/>
    <xf borderId="22" fillId="0" fontId="25" numFmtId="170" xfId="0" applyBorder="1" applyFont="1" applyNumberFormat="1"/>
    <xf borderId="0" fillId="0" fontId="24" numFmtId="10" xfId="0" applyFont="1" applyNumberFormat="1"/>
    <xf borderId="23" fillId="0" fontId="25" numFmtId="0" xfId="0" applyBorder="1" applyFont="1"/>
    <xf borderId="24" fillId="0" fontId="25" numFmtId="167" xfId="0" applyBorder="1" applyFont="1" applyNumberFormat="1"/>
    <xf borderId="25" fillId="0" fontId="25" numFmtId="167" xfId="0" applyBorder="1" applyFont="1" applyNumberFormat="1"/>
    <xf borderId="0" fillId="0" fontId="27" numFmtId="0" xfId="0" applyFont="1"/>
    <xf borderId="0" fillId="0" fontId="27" numFmtId="171" xfId="0" applyFont="1" applyNumberFormat="1"/>
    <xf borderId="0" fillId="0" fontId="3" numFmtId="0" xfId="0" applyFont="1"/>
    <xf borderId="8" fillId="3" fontId="27" numFmtId="0" xfId="0" applyBorder="1" applyFont="1"/>
    <xf borderId="8" fillId="3" fontId="3" numFmtId="0" xfId="0" applyBorder="1" applyFont="1"/>
    <xf borderId="0" fillId="0" fontId="28" numFmtId="0" xfId="0" applyFont="1"/>
    <xf borderId="0" fillId="0" fontId="4" numFmtId="0" xfId="0" applyFont="1"/>
    <xf borderId="26" fillId="0" fontId="29" numFmtId="0" xfId="0" applyBorder="1" applyFont="1"/>
    <xf borderId="26" fillId="0" fontId="4" numFmtId="0" xfId="0" applyBorder="1" applyFont="1"/>
    <xf borderId="26" fillId="0" fontId="3" numFmtId="0" xfId="0" applyBorder="1" applyFont="1"/>
    <xf borderId="0" fillId="0" fontId="11" numFmtId="0" xfId="0" applyAlignment="1" applyFont="1">
      <alignment horizontal="left" shrinkToFit="0" wrapText="1"/>
    </xf>
    <xf borderId="0" fillId="0" fontId="11" numFmtId="2" xfId="0" applyAlignment="1" applyFont="1" applyNumberFormat="1">
      <alignment horizontal="right" shrinkToFit="0" wrapText="1"/>
    </xf>
    <xf borderId="0" fillId="0" fontId="8" numFmtId="175" xfId="0" applyFont="1" applyNumberFormat="1"/>
    <xf borderId="0" fillId="0" fontId="3" numFmtId="175" xfId="0" applyFont="1" applyNumberFormat="1"/>
    <xf borderId="0" fillId="0" fontId="11" numFmtId="167" xfId="0" applyAlignment="1" applyFont="1" applyNumberFormat="1">
      <alignment horizontal="right" shrinkToFit="0" wrapText="1"/>
    </xf>
    <xf borderId="0" fillId="0" fontId="27" numFmtId="0" xfId="0" applyAlignment="1" applyFont="1">
      <alignment shrinkToFit="0" wrapText="1"/>
    </xf>
    <xf borderId="0" fillId="0" fontId="11" numFmtId="171" xfId="0" applyAlignment="1" applyFont="1" applyNumberFormat="1">
      <alignment horizontal="right" shrinkToFit="0" wrapText="1"/>
    </xf>
    <xf borderId="0" fillId="0" fontId="11" numFmtId="171" xfId="0" applyAlignment="1" applyFont="1" applyNumberFormat="1">
      <alignment horizontal="left" shrinkToFit="0" wrapText="1"/>
    </xf>
    <xf borderId="0" fillId="0" fontId="27" numFmtId="0" xfId="0" applyAlignment="1" applyFont="1">
      <alignment horizontal="left" shrinkToFit="0" wrapText="1"/>
    </xf>
    <xf borderId="0" fillId="0" fontId="11" numFmtId="175" xfId="0" applyAlignment="1" applyFont="1" applyNumberFormat="1">
      <alignment horizontal="right" shrinkToFit="0" wrapText="1"/>
    </xf>
    <xf borderId="0" fillId="0" fontId="11" numFmtId="175" xfId="0" applyAlignment="1" applyFont="1" applyNumberFormat="1">
      <alignment horizontal="left" shrinkToFit="0" wrapText="1"/>
    </xf>
    <xf borderId="0" fillId="0" fontId="11" numFmtId="2" xfId="0" applyAlignment="1" applyFont="1" applyNumberFormat="1">
      <alignment horizontal="left" shrinkToFit="0" wrapText="1"/>
    </xf>
    <xf borderId="0" fillId="0" fontId="11" numFmtId="167" xfId="0" applyAlignment="1" applyFont="1" applyNumberFormat="1">
      <alignment horizontal="left" shrinkToFit="0" wrapText="1"/>
    </xf>
    <xf borderId="0" fillId="0" fontId="11" numFmtId="166" xfId="0" applyAlignment="1" applyFont="1" applyNumberFormat="1">
      <alignment horizontal="right" shrinkToFit="0" wrapText="1"/>
    </xf>
    <xf borderId="10" fillId="0" fontId="11" numFmtId="0" xfId="0" applyAlignment="1" applyBorder="1" applyFont="1">
      <alignment horizontal="left" shrinkToFit="0" wrapText="1"/>
    </xf>
    <xf borderId="10" fillId="0" fontId="11" numFmtId="166" xfId="0" applyAlignment="1" applyBorder="1" applyFont="1" applyNumberFormat="1">
      <alignment horizontal="right" shrinkToFit="0" wrapText="1"/>
    </xf>
    <xf borderId="10" fillId="0" fontId="11" numFmtId="0" xfId="0" applyAlignment="1" applyBorder="1" applyFont="1">
      <alignment shrinkToFit="0" wrapText="1"/>
    </xf>
    <xf borderId="10" fillId="0" fontId="30" numFmtId="0" xfId="0" applyAlignment="1" applyBorder="1" applyFont="1">
      <alignment horizontal="left" shrinkToFit="0" wrapText="1"/>
    </xf>
    <xf borderId="10" fillId="0" fontId="29" numFmtId="0" xfId="0" applyBorder="1" applyFont="1"/>
    <xf borderId="10" fillId="0" fontId="30" numFmtId="167" xfId="0" applyAlignment="1" applyBorder="1" applyFont="1" applyNumberFormat="1">
      <alignment horizontal="right" shrinkToFit="0" wrapText="1"/>
    </xf>
    <xf borderId="10" fillId="0" fontId="30" numFmtId="0" xfId="0" applyAlignment="1" applyBorder="1" applyFont="1">
      <alignment shrinkToFit="0" wrapText="1"/>
    </xf>
    <xf borderId="0" fillId="0" fontId="25" numFmtId="0" xfId="0" applyAlignment="1" applyFont="1">
      <alignment shrinkToFit="0" wrapText="1"/>
    </xf>
    <xf borderId="0" fillId="0" fontId="3" numFmtId="0" xfId="0" applyAlignment="1" applyFont="1">
      <alignment shrinkToFit="0" wrapText="1"/>
    </xf>
    <xf borderId="0" fillId="0" fontId="3" numFmtId="171" xfId="0" applyFont="1" applyNumberFormat="1"/>
    <xf borderId="8" fillId="3" fontId="21" numFmtId="0" xfId="0" applyBorder="1" applyFont="1"/>
    <xf borderId="0" fillId="0" fontId="25" numFmtId="0" xfId="0" applyAlignment="1" applyFont="1">
      <alignment horizontal="center"/>
    </xf>
    <xf borderId="0" fillId="0" fontId="31" numFmtId="0" xfId="0" applyFont="1"/>
    <xf borderId="0" fillId="0" fontId="27" numFmtId="0" xfId="0" applyAlignment="1" applyFont="1">
      <alignment horizontal="center"/>
    </xf>
    <xf borderId="0" fillId="0" fontId="30" numFmtId="0" xfId="0" applyFont="1"/>
    <xf borderId="4" fillId="0" fontId="30" numFmtId="0" xfId="0" applyAlignment="1" applyBorder="1" applyFont="1">
      <alignment horizontal="center" shrinkToFit="0" wrapText="1"/>
    </xf>
    <xf borderId="4" fillId="0" fontId="30" numFmtId="0" xfId="0" applyAlignment="1" applyBorder="1" applyFont="1">
      <alignment shrinkToFit="0" wrapText="1"/>
    </xf>
    <xf borderId="4" fillId="0" fontId="29" numFmtId="0" xfId="0" applyAlignment="1" applyBorder="1" applyFont="1">
      <alignment shrinkToFit="0" wrapText="1"/>
    </xf>
    <xf borderId="4" fillId="0" fontId="11" numFmtId="0" xfId="0" applyAlignment="1" applyBorder="1" applyFont="1">
      <alignment horizontal="center"/>
    </xf>
    <xf borderId="4" fillId="0" fontId="11" numFmtId="0" xfId="0" applyBorder="1" applyFont="1"/>
    <xf borderId="4" fillId="0" fontId="11" numFmtId="172" xfId="0" applyBorder="1" applyFont="1" applyNumberFormat="1"/>
    <xf borderId="4" fillId="0" fontId="30" numFmtId="172" xfId="0" applyBorder="1" applyFont="1" applyNumberFormat="1"/>
    <xf borderId="0" fillId="0" fontId="11" numFmtId="0" xfId="0" applyAlignment="1" applyFont="1">
      <alignment horizontal="center"/>
    </xf>
    <xf borderId="0" fillId="0" fontId="29" numFmtId="0" xfId="0" applyFont="1"/>
    <xf borderId="4" fillId="0" fontId="29" numFmtId="0" xfId="0" applyBorder="1" applyFont="1"/>
    <xf borderId="4" fillId="0" fontId="8" numFmtId="0" xfId="0" applyBorder="1" applyFont="1"/>
    <xf borderId="4" fillId="0" fontId="8" numFmtId="2" xfId="0" applyBorder="1" applyFont="1" applyNumberFormat="1"/>
    <xf borderId="4" fillId="0" fontId="8" numFmtId="0" xfId="0" applyAlignment="1" applyBorder="1" applyFont="1">
      <alignment shrinkToFit="0" wrapText="1"/>
    </xf>
    <xf borderId="4" fillId="0" fontId="8" numFmtId="0" xfId="0" applyAlignment="1" applyBorder="1" applyFont="1">
      <alignment horizontal="center"/>
    </xf>
    <xf borderId="4" fillId="0" fontId="29" numFmtId="175" xfId="0" applyAlignment="1" applyBorder="1" applyFont="1" applyNumberFormat="1">
      <alignment horizontal="right" shrinkToFit="0" wrapText="1"/>
    </xf>
    <xf borderId="1" fillId="0" fontId="11" numFmtId="0" xfId="0" applyAlignment="1" applyBorder="1" applyFont="1">
      <alignment horizontal="left" shrinkToFit="0" wrapText="1"/>
    </xf>
    <xf borderId="1" fillId="0" fontId="25" numFmtId="0" xfId="0" applyAlignment="1" applyBorder="1" applyFont="1">
      <alignment horizontal="left" shrinkToFit="0" wrapText="1"/>
    </xf>
    <xf borderId="4" fillId="0" fontId="4" numFmtId="172" xfId="0" applyBorder="1" applyFont="1" applyNumberFormat="1"/>
    <xf borderId="0" fillId="0" fontId="32" numFmtId="0" xfId="0" applyFont="1"/>
    <xf borderId="0" fillId="0" fontId="10" numFmtId="0" xfId="0" applyAlignment="1" applyFont="1">
      <alignment shrinkToFit="0" wrapText="1"/>
    </xf>
    <xf borderId="27" fillId="3" fontId="16" numFmtId="0" xfId="0" applyAlignment="1" applyBorder="1" applyFont="1">
      <alignment shrinkToFit="0" vertical="center" wrapText="1"/>
    </xf>
    <xf borderId="28" fillId="0" fontId="33" numFmtId="0" xfId="0" applyAlignment="1" applyBorder="1" applyFont="1">
      <alignment shrinkToFit="0" vertical="center" wrapText="1"/>
    </xf>
    <xf borderId="28" fillId="0" fontId="34" numFmtId="170" xfId="0" applyAlignment="1" applyBorder="1" applyFont="1" applyNumberFormat="1">
      <alignment shrinkToFit="0" vertical="center" wrapText="1"/>
    </xf>
    <xf borderId="0" fillId="0" fontId="10" numFmtId="10" xfId="0" applyAlignment="1" applyFont="1" applyNumberFormat="1">
      <alignment shrinkToFit="0" wrapText="1"/>
    </xf>
    <xf borderId="0" fillId="0" fontId="10" numFmtId="167" xfId="0" applyAlignment="1" applyFont="1" applyNumberFormat="1">
      <alignment shrinkToFit="0" wrapText="1"/>
    </xf>
    <xf borderId="0" fillId="0" fontId="17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1.38"/>
  </cols>
  <sheetData>
    <row r="1" ht="12.75" customHeight="1">
      <c r="A1" s="1" t="s">
        <v>0</v>
      </c>
      <c r="B1" s="2"/>
      <c r="C1" s="2"/>
      <c r="D1" s="2"/>
      <c r="E1" s="3"/>
    </row>
    <row r="2" ht="12.75" customHeight="1">
      <c r="A2" s="4"/>
      <c r="B2" s="5" t="s">
        <v>1</v>
      </c>
      <c r="C2" s="3"/>
      <c r="D2" s="5" t="s">
        <v>2</v>
      </c>
      <c r="E2" s="3"/>
    </row>
    <row r="3" ht="12.75" customHeight="1">
      <c r="A3" s="6"/>
      <c r="B3" s="7" t="s">
        <v>3</v>
      </c>
      <c r="C3" s="7" t="s">
        <v>4</v>
      </c>
      <c r="D3" s="7" t="s">
        <v>3</v>
      </c>
      <c r="E3" s="7" t="s">
        <v>4</v>
      </c>
    </row>
    <row r="4" ht="12.75" customHeight="1">
      <c r="A4" s="8" t="s">
        <v>5</v>
      </c>
      <c r="B4" s="9">
        <v>39659.0</v>
      </c>
      <c r="C4" s="10">
        <v>16586.46</v>
      </c>
      <c r="D4" s="9">
        <v>468329.0</v>
      </c>
      <c r="E4" s="9">
        <v>172741.2192</v>
      </c>
    </row>
    <row r="5" ht="12.75" customHeight="1">
      <c r="A5" s="8" t="s">
        <v>6</v>
      </c>
      <c r="B5" s="9">
        <v>0.0</v>
      </c>
      <c r="C5" s="9">
        <v>0.0</v>
      </c>
      <c r="D5" s="9">
        <v>45552.0</v>
      </c>
      <c r="E5" s="9">
        <v>13701.61644</v>
      </c>
    </row>
    <row r="6" ht="12.75" customHeight="1">
      <c r="A6" s="8" t="s">
        <v>7</v>
      </c>
      <c r="B6" s="9">
        <v>0.0</v>
      </c>
      <c r="C6" s="9">
        <v>0.0</v>
      </c>
      <c r="D6" s="9">
        <v>0.0</v>
      </c>
      <c r="E6" s="9">
        <v>0.0</v>
      </c>
    </row>
    <row r="7" ht="12.75" customHeight="1">
      <c r="A7" s="8" t="s">
        <v>8</v>
      </c>
      <c r="B7" s="9">
        <v>0.0</v>
      </c>
      <c r="C7" s="9">
        <v>0.0</v>
      </c>
      <c r="D7" s="9">
        <v>18400.0</v>
      </c>
      <c r="E7" s="9">
        <v>3251.367123</v>
      </c>
    </row>
    <row r="8" ht="12.75" customHeight="1">
      <c r="A8" s="8" t="s">
        <v>9</v>
      </c>
      <c r="B8" s="9">
        <v>0.0</v>
      </c>
      <c r="C8" s="9">
        <v>0.0</v>
      </c>
      <c r="D8" s="9">
        <v>4882.0</v>
      </c>
      <c r="E8" s="9">
        <v>441.6246575</v>
      </c>
    </row>
    <row r="9" ht="12.75" customHeight="1">
      <c r="A9" s="11" t="s">
        <v>10</v>
      </c>
      <c r="B9" s="12">
        <f t="shared" ref="B9:E9" si="1">SUM(B4:B8)</f>
        <v>39659</v>
      </c>
      <c r="C9" s="12">
        <f t="shared" si="1"/>
        <v>16586.46</v>
      </c>
      <c r="D9" s="12">
        <f t="shared" si="1"/>
        <v>537163</v>
      </c>
      <c r="E9" s="12">
        <f t="shared" si="1"/>
        <v>190135.8274</v>
      </c>
    </row>
    <row r="10" ht="12.75" customHeight="1">
      <c r="A10" s="13"/>
      <c r="B10" s="14"/>
      <c r="C10" s="14"/>
      <c r="D10" s="14"/>
      <c r="E10" s="15"/>
    </row>
    <row r="11" ht="12.75" customHeight="1">
      <c r="A11" s="16" t="s">
        <v>11</v>
      </c>
      <c r="B11" s="16"/>
      <c r="C11" s="14"/>
      <c r="D11" s="14"/>
      <c r="E11" s="15"/>
    </row>
    <row r="12" ht="12.75" customHeight="1">
      <c r="A12" s="17" t="s">
        <v>12</v>
      </c>
      <c r="B12" s="18" t="s">
        <v>13</v>
      </c>
      <c r="C12" s="18" t="s">
        <v>14</v>
      </c>
      <c r="D12" s="14"/>
      <c r="E12" s="15"/>
    </row>
    <row r="13" ht="12.75" customHeight="1">
      <c r="A13" s="19" t="s">
        <v>15</v>
      </c>
      <c r="B13" s="20"/>
      <c r="C13" s="20">
        <v>360380.0</v>
      </c>
      <c r="D13" s="14"/>
      <c r="E13" s="15"/>
    </row>
    <row r="14" ht="12.75" customHeight="1">
      <c r="A14" s="21">
        <v>44652.0</v>
      </c>
      <c r="B14" s="20">
        <v>38919.0</v>
      </c>
      <c r="C14" s="20">
        <f t="shared" ref="C14:C18" si="2">C13+B14</f>
        <v>399299</v>
      </c>
      <c r="D14" s="15"/>
      <c r="E14" s="15"/>
    </row>
    <row r="15" ht="12.75" customHeight="1">
      <c r="A15" s="21">
        <v>44682.0</v>
      </c>
      <c r="B15" s="20">
        <v>34047.0</v>
      </c>
      <c r="C15" s="20">
        <f t="shared" si="2"/>
        <v>433346</v>
      </c>
      <c r="D15" s="15"/>
      <c r="E15" s="15"/>
    </row>
    <row r="16" ht="12.75" customHeight="1">
      <c r="A16" s="21">
        <v>44713.0</v>
      </c>
      <c r="B16" s="20">
        <v>39421.0</v>
      </c>
      <c r="C16" s="20">
        <f t="shared" si="2"/>
        <v>472767</v>
      </c>
      <c r="D16" s="15"/>
      <c r="E16" s="15"/>
    </row>
    <row r="17" ht="12.75" customHeight="1">
      <c r="A17" s="21">
        <v>44743.0</v>
      </c>
      <c r="B17" s="20">
        <v>39914.0</v>
      </c>
      <c r="C17" s="20">
        <f t="shared" si="2"/>
        <v>512681</v>
      </c>
      <c r="D17" s="15"/>
      <c r="E17" s="15"/>
    </row>
    <row r="18" ht="12.75" customHeight="1">
      <c r="A18" s="21">
        <v>44774.0</v>
      </c>
      <c r="B18" s="20">
        <v>24482.0</v>
      </c>
      <c r="C18" s="20">
        <f t="shared" si="2"/>
        <v>537163</v>
      </c>
      <c r="D18" s="15"/>
      <c r="E18" s="15"/>
    </row>
    <row r="19" ht="12.75" customHeight="1">
      <c r="A19" s="22" t="s">
        <v>10</v>
      </c>
      <c r="B19" s="23">
        <f>SUM(B14:B18)</f>
        <v>176783</v>
      </c>
      <c r="C19" s="24"/>
      <c r="D19" s="15"/>
      <c r="E19" s="15"/>
    </row>
    <row r="20" ht="12.75" customHeight="1">
      <c r="A20" s="16"/>
      <c r="B20" s="16"/>
      <c r="C20" s="15"/>
      <c r="D20" s="15"/>
      <c r="E20" s="15"/>
    </row>
    <row r="21" ht="12.75" customHeight="1">
      <c r="A21" s="15"/>
      <c r="B21" s="15"/>
      <c r="C21" s="15"/>
      <c r="D21" s="15"/>
      <c r="E21" s="15"/>
    </row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E1"/>
    <mergeCell ref="B2:C2"/>
    <mergeCell ref="D2:E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8.38"/>
    <col customWidth="1" min="2" max="2" width="14.63"/>
    <col customWidth="1" min="3" max="3" width="12.13"/>
    <col customWidth="1" min="4" max="4" width="22.0"/>
    <col customWidth="1" min="5" max="5" width="55.88"/>
    <col customWidth="1" min="6" max="25" width="9.13"/>
  </cols>
  <sheetData>
    <row r="1" ht="18.75" customHeight="1">
      <c r="A1" s="25" t="s">
        <v>16</v>
      </c>
      <c r="B1" s="25"/>
      <c r="C1" s="25"/>
      <c r="D1" s="25"/>
      <c r="E1" s="25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ht="15.0" customHeight="1">
      <c r="A2" s="27" t="s">
        <v>17</v>
      </c>
      <c r="B2" s="27" t="s">
        <v>18</v>
      </c>
      <c r="C2" s="27" t="s">
        <v>19</v>
      </c>
      <c r="D2" s="27" t="s">
        <v>20</v>
      </c>
      <c r="E2" s="27" t="s">
        <v>21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ht="15.0" customHeight="1">
      <c r="A3" s="29" t="s">
        <v>22</v>
      </c>
      <c r="B3" s="26" t="s">
        <v>23</v>
      </c>
      <c r="C3" s="30">
        <v>0.0156</v>
      </c>
      <c r="D3" s="31" t="s">
        <v>24</v>
      </c>
      <c r="E3" s="32" t="s">
        <v>25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ht="12.0" customHeight="1">
      <c r="A4" s="29" t="s">
        <v>26</v>
      </c>
      <c r="B4" s="26" t="s">
        <v>27</v>
      </c>
      <c r="C4" s="30">
        <v>0.0295</v>
      </c>
      <c r="D4" s="31" t="s">
        <v>24</v>
      </c>
      <c r="E4" s="32" t="s">
        <v>25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ht="12.0" customHeight="1">
      <c r="A5" s="29" t="s">
        <v>28</v>
      </c>
      <c r="B5" s="26" t="s">
        <v>29</v>
      </c>
      <c r="C5" s="33">
        <v>6.0</v>
      </c>
      <c r="D5" s="31" t="s">
        <v>30</v>
      </c>
      <c r="E5" s="32" t="s">
        <v>31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ht="12.0" customHeight="1">
      <c r="A6" s="29" t="s">
        <v>32</v>
      </c>
      <c r="B6" s="26" t="s">
        <v>33</v>
      </c>
      <c r="C6" s="34">
        <v>0.9268</v>
      </c>
      <c r="D6" s="31" t="s">
        <v>34</v>
      </c>
      <c r="E6" s="35" t="s">
        <v>35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ht="12.0" customHeight="1">
      <c r="A7" s="29" t="s">
        <v>36</v>
      </c>
      <c r="B7" s="26" t="s">
        <v>37</v>
      </c>
      <c r="C7" s="36">
        <v>63.7</v>
      </c>
      <c r="D7" s="31" t="s">
        <v>38</v>
      </c>
      <c r="E7" s="32" t="s">
        <v>39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ht="12.0" customHeight="1">
      <c r="A8" s="29" t="s">
        <v>40</v>
      </c>
      <c r="B8" s="26" t="s">
        <v>41</v>
      </c>
      <c r="C8" s="37">
        <v>0.95</v>
      </c>
      <c r="D8" s="31" t="s">
        <v>42</v>
      </c>
      <c r="E8" s="32" t="s">
        <v>39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12.0" customHeight="1">
      <c r="A9" s="29" t="s">
        <v>43</v>
      </c>
      <c r="B9" s="26" t="s">
        <v>44</v>
      </c>
      <c r="C9" s="34">
        <v>0.0254</v>
      </c>
      <c r="D9" s="31" t="s">
        <v>45</v>
      </c>
      <c r="E9" s="32" t="s">
        <v>46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12.0" customHeight="1">
      <c r="A10" s="29" t="s">
        <v>47</v>
      </c>
      <c r="B10" s="26" t="s">
        <v>48</v>
      </c>
      <c r="C10" s="37">
        <v>0.789</v>
      </c>
      <c r="D10" s="31" t="s">
        <v>49</v>
      </c>
      <c r="E10" s="32" t="s">
        <v>31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</row>
    <row r="11" ht="12.0" customHeight="1">
      <c r="A11" s="29" t="s">
        <v>50</v>
      </c>
      <c r="B11" s="26" t="s">
        <v>51</v>
      </c>
      <c r="C11" s="38">
        <v>0.2</v>
      </c>
      <c r="D11" s="31" t="s">
        <v>34</v>
      </c>
      <c r="E11" s="32" t="s">
        <v>52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ht="12.0" customHeight="1">
      <c r="A12" s="39" t="s">
        <v>53</v>
      </c>
      <c r="B12" s="26" t="s">
        <v>54</v>
      </c>
      <c r="C12" s="40">
        <v>1.7062</v>
      </c>
      <c r="D12" s="41" t="s">
        <v>55</v>
      </c>
      <c r="E12" s="32" t="s">
        <v>46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</row>
    <row r="13" ht="12.0" customHeight="1">
      <c r="A13" s="39" t="s">
        <v>56</v>
      </c>
      <c r="B13" s="42" t="s">
        <v>57</v>
      </c>
      <c r="C13" s="40">
        <v>4.0</v>
      </c>
      <c r="D13" s="41" t="s">
        <v>58</v>
      </c>
      <c r="E13" s="32" t="s">
        <v>46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ht="12.0" customHeight="1">
      <c r="A14" s="39" t="s">
        <v>59</v>
      </c>
      <c r="B14" s="26" t="s">
        <v>60</v>
      </c>
      <c r="C14" s="40">
        <v>8.73</v>
      </c>
      <c r="D14" s="41" t="s">
        <v>61</v>
      </c>
      <c r="E14" s="32" t="s">
        <v>46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ht="12.0" customHeight="1">
      <c r="A15" s="39" t="s">
        <v>62</v>
      </c>
      <c r="B15" s="26" t="s">
        <v>63</v>
      </c>
      <c r="C15" s="43">
        <v>0.6</v>
      </c>
      <c r="D15" s="31" t="s">
        <v>64</v>
      </c>
      <c r="E15" s="32" t="s">
        <v>46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</row>
    <row r="16" ht="12.0" customHeight="1">
      <c r="A16" s="39" t="s">
        <v>65</v>
      </c>
      <c r="B16" s="26" t="s">
        <v>66</v>
      </c>
      <c r="C16" s="40">
        <v>1.3</v>
      </c>
      <c r="D16" s="41" t="s">
        <v>67</v>
      </c>
      <c r="E16" s="32" t="s">
        <v>46</v>
      </c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ht="12.0" customHeight="1">
      <c r="A17" s="39" t="s">
        <v>68</v>
      </c>
      <c r="B17" s="26" t="s">
        <v>69</v>
      </c>
      <c r="C17" s="43">
        <v>0.2</v>
      </c>
      <c r="D17" s="31" t="s">
        <v>64</v>
      </c>
      <c r="E17" s="32" t="s">
        <v>46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ht="12.0" customHeight="1">
      <c r="A18" s="39" t="s">
        <v>70</v>
      </c>
      <c r="B18" s="26" t="s">
        <v>71</v>
      </c>
      <c r="C18" s="40">
        <v>245.0</v>
      </c>
      <c r="D18" s="26" t="s">
        <v>72</v>
      </c>
      <c r="E18" s="32" t="s">
        <v>46</v>
      </c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ht="12.0" customHeight="1">
      <c r="A19" s="39" t="s">
        <v>73</v>
      </c>
      <c r="B19" s="26" t="s">
        <v>74</v>
      </c>
      <c r="C19" s="44">
        <v>44652.0</v>
      </c>
      <c r="D19" s="26" t="s">
        <v>75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ht="12.0" customHeight="1">
      <c r="A20" s="39" t="s">
        <v>76</v>
      </c>
      <c r="B20" s="26" t="s">
        <v>77</v>
      </c>
      <c r="C20" s="44">
        <v>44804.0</v>
      </c>
      <c r="D20" s="26" t="s">
        <v>75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ht="12.0" customHeight="1">
      <c r="A21" s="39" t="s">
        <v>78</v>
      </c>
      <c r="B21" s="26" t="s">
        <v>79</v>
      </c>
      <c r="C21" s="45">
        <f>(C20-C19)/365</f>
        <v>0.4164383562</v>
      </c>
      <c r="D21" s="26" t="s">
        <v>80</v>
      </c>
      <c r="E21" s="26" t="s">
        <v>81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</row>
    <row r="22" ht="12.0" customHeight="1">
      <c r="A22" s="39" t="s">
        <v>82</v>
      </c>
      <c r="B22" s="26" t="s">
        <v>83</v>
      </c>
      <c r="C22" s="26">
        <f>'Db Summary'!D9</f>
        <v>537163</v>
      </c>
      <c r="D22" s="26" t="s">
        <v>3</v>
      </c>
      <c r="E22" s="26" t="s">
        <v>84</v>
      </c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ht="12.0" customHeight="1">
      <c r="A23" s="39" t="s">
        <v>85</v>
      </c>
      <c r="B23" s="26"/>
      <c r="C23" s="46">
        <f>'Vintage Breakdown'!E10</f>
        <v>190135.8274</v>
      </c>
      <c r="D23" s="26" t="s">
        <v>80</v>
      </c>
      <c r="E23" s="26" t="s">
        <v>84</v>
      </c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ht="12.0" customHeight="1">
      <c r="A24" s="39" t="s">
        <v>86</v>
      </c>
      <c r="B24" s="26" t="s">
        <v>87</v>
      </c>
      <c r="C24" s="47">
        <f>C23*C25/C22</f>
        <v>0.3517330339</v>
      </c>
      <c r="D24" s="26" t="s">
        <v>88</v>
      </c>
      <c r="E24" s="26" t="s">
        <v>89</v>
      </c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ht="12.0" customHeight="1">
      <c r="A25" s="39" t="s">
        <v>90</v>
      </c>
      <c r="B25" s="26"/>
      <c r="C25" s="48">
        <v>0.9937</v>
      </c>
      <c r="D25" s="26"/>
      <c r="E25" s="26" t="s">
        <v>91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ht="12.0" customHeight="1">
      <c r="A26" s="39" t="s">
        <v>92</v>
      </c>
      <c r="B26" s="26" t="s">
        <v>93</v>
      </c>
      <c r="C26" s="49">
        <f>ROUNDDOWN(C22*C25,0)</f>
        <v>533778</v>
      </c>
      <c r="D26" s="26" t="s">
        <v>3</v>
      </c>
      <c r="E26" s="26" t="s">
        <v>89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ht="12.0" customHeight="1">
      <c r="A27" s="39" t="s">
        <v>94</v>
      </c>
      <c r="B27" s="26"/>
      <c r="C27" s="48">
        <v>0.071762208068</v>
      </c>
      <c r="D27" s="26"/>
      <c r="E27" s="26" t="s">
        <v>91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ht="12.0" customHeight="1">
      <c r="A28" s="39" t="s">
        <v>95</v>
      </c>
      <c r="B28" s="26" t="s">
        <v>96</v>
      </c>
      <c r="C28" s="26">
        <v>1099.0</v>
      </c>
      <c r="D28" s="26" t="s">
        <v>97</v>
      </c>
      <c r="E28" s="26" t="s">
        <v>89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ht="12.0" customHeight="1">
      <c r="A29" s="50" t="s">
        <v>98</v>
      </c>
      <c r="B29" s="51" t="s">
        <v>99</v>
      </c>
      <c r="C29" s="51">
        <f>20/1000</f>
        <v>0.02</v>
      </c>
      <c r="D29" s="51" t="s">
        <v>100</v>
      </c>
      <c r="E29" s="26" t="s">
        <v>101</v>
      </c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ht="12.0" customHeight="1">
      <c r="A30" s="50" t="s">
        <v>102</v>
      </c>
      <c r="B30" s="51" t="s">
        <v>103</v>
      </c>
      <c r="C30" s="52">
        <f>365*24*C21</f>
        <v>3648</v>
      </c>
      <c r="D30" s="51" t="s">
        <v>104</v>
      </c>
      <c r="E30" s="26" t="s">
        <v>105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ht="12.0" customHeight="1">
      <c r="A31" s="53" t="s">
        <v>106</v>
      </c>
      <c r="B31" s="54" t="s">
        <v>107</v>
      </c>
      <c r="C31" s="55">
        <f>PE!C17*PE!F17</f>
        <v>29546.17257</v>
      </c>
      <c r="D31" s="54" t="s">
        <v>108</v>
      </c>
      <c r="E31" s="54" t="s">
        <v>89</v>
      </c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</row>
    <row r="32" ht="12.0" customHeight="1">
      <c r="A32" s="50"/>
      <c r="B32" s="51"/>
      <c r="C32" s="52"/>
      <c r="D32" s="51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ht="12.0" customHeight="1">
      <c r="A33" s="56" t="s">
        <v>109</v>
      </c>
      <c r="B33" s="57"/>
      <c r="C33" s="58"/>
      <c r="D33" s="57"/>
      <c r="E33" s="57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ht="12.0" customHeight="1">
      <c r="A34" s="59" t="s">
        <v>110</v>
      </c>
      <c r="B34" s="60" t="s">
        <v>111</v>
      </c>
      <c r="C34" s="61">
        <v>0.9108</v>
      </c>
      <c r="D34" s="60"/>
      <c r="E34" s="60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ht="12.0" customHeight="1">
      <c r="A35" s="59" t="s">
        <v>112</v>
      </c>
      <c r="B35" s="60"/>
      <c r="C35" s="60">
        <f>ROUNDDOWN(C22*C34,0)</f>
        <v>489248</v>
      </c>
      <c r="D35" s="60"/>
      <c r="E35" s="60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ht="12.0" customHeight="1">
      <c r="A36" s="39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ht="12.0" customHeight="1">
      <c r="A37" s="62" t="s">
        <v>113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ht="12.0" customHeight="1">
      <c r="A38" s="63" t="s">
        <v>114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</row>
    <row r="39" ht="12.0" customHeight="1">
      <c r="A39" s="63" t="s">
        <v>115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ht="12.0" customHeight="1">
      <c r="A40" s="39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</row>
    <row r="41" ht="12.0" customHeight="1">
      <c r="A41" s="39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ht="12.0" customHeight="1">
      <c r="A42" s="39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ht="12.0" customHeight="1">
      <c r="A43" s="39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ht="12.0" customHeight="1">
      <c r="A44" s="39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ht="12.0" customHeight="1">
      <c r="A45" s="39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ht="12.0" customHeight="1">
      <c r="A46" s="39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ht="12.0" customHeight="1">
      <c r="A47" s="39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ht="12.0" customHeight="1">
      <c r="A48" s="39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ht="12.0" customHeight="1">
      <c r="A49" s="39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ht="12.0" customHeight="1">
      <c r="A50" s="39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ht="12.0" customHeight="1">
      <c r="A51" s="39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ht="12.0" customHeight="1">
      <c r="A52" s="39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</row>
    <row r="53" ht="12.0" customHeight="1">
      <c r="A53" s="39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ht="12.0" customHeight="1">
      <c r="A54" s="39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ht="12.0" customHeight="1">
      <c r="A55" s="39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ht="12.0" customHeight="1">
      <c r="A56" s="39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</row>
    <row r="57" ht="12.0" customHeight="1">
      <c r="A57" s="39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ht="12.0" customHeight="1">
      <c r="A58" s="39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ht="12.0" customHeight="1">
      <c r="A59" s="39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ht="12.0" customHeight="1">
      <c r="A60" s="39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ht="12.0" customHeight="1">
      <c r="A61" s="39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ht="12.0" customHeight="1">
      <c r="A62" s="39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ht="12.0" customHeight="1">
      <c r="A63" s="39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ht="12.0" customHeight="1">
      <c r="A64" s="39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ht="12.0" customHeight="1">
      <c r="A65" s="39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ht="12.0" customHeight="1">
      <c r="A66" s="39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</row>
    <row r="67" ht="12.0" customHeight="1">
      <c r="A67" s="39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8" ht="12.0" customHeight="1">
      <c r="A68" s="39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</row>
    <row r="69" ht="12.0" customHeight="1">
      <c r="A69" s="39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ht="12.0" customHeight="1">
      <c r="A70" s="39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</row>
    <row r="71" ht="12.0" customHeight="1">
      <c r="A71" s="39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</row>
    <row r="72" ht="12.0" customHeight="1">
      <c r="A72" s="39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ht="12.0" customHeight="1">
      <c r="A73" s="39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ht="12.0" customHeight="1">
      <c r="A74" s="39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75" ht="12.0" customHeight="1">
      <c r="A75" s="39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</row>
    <row r="76" ht="12.0" customHeight="1">
      <c r="A76" s="39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</row>
    <row r="77" ht="12.0" customHeight="1">
      <c r="A77" s="39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ht="12.0" customHeight="1">
      <c r="A78" s="39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</row>
    <row r="79" ht="12.0" customHeight="1">
      <c r="A79" s="39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</row>
    <row r="80" ht="12.0" customHeight="1">
      <c r="A80" s="39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</row>
    <row r="81" ht="12.0" customHeight="1">
      <c r="A81" s="39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ht="12.0" customHeight="1">
      <c r="A82" s="39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</row>
    <row r="83" ht="12.0" customHeight="1">
      <c r="A83" s="39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</row>
    <row r="84" ht="12.0" customHeight="1">
      <c r="A84" s="39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</row>
    <row r="85" ht="12.0" customHeight="1">
      <c r="A85" s="39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ht="12.0" customHeight="1">
      <c r="A86" s="39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</row>
    <row r="87" ht="12.0" customHeight="1">
      <c r="A87" s="39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</row>
    <row r="88" ht="12.0" customHeight="1">
      <c r="A88" s="39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</row>
    <row r="89" ht="12.0" customHeight="1">
      <c r="A89" s="39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ht="12.0" customHeight="1">
      <c r="A90" s="39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</row>
    <row r="91" ht="12.0" customHeight="1">
      <c r="A91" s="39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</row>
    <row r="92" ht="12.0" customHeight="1">
      <c r="A92" s="39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</row>
    <row r="93" ht="12.0" customHeight="1">
      <c r="A93" s="39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ht="12.0" customHeight="1">
      <c r="A94" s="39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</row>
    <row r="95" ht="12.0" customHeight="1">
      <c r="A95" s="39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ht="12.0" customHeight="1">
      <c r="A96" s="39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ht="12.0" customHeight="1">
      <c r="A97" s="39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ht="12.0" customHeight="1">
      <c r="A98" s="39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ht="12.0" customHeight="1">
      <c r="A99" s="39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ht="12.0" customHeight="1">
      <c r="A100" s="39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  <row r="101" ht="12.0" customHeight="1">
      <c r="A101" s="39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ht="12.0" customHeight="1">
      <c r="A102" s="39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</row>
    <row r="103" ht="12.0" customHeight="1">
      <c r="A103" s="39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</row>
    <row r="104" ht="12.0" customHeight="1">
      <c r="A104" s="39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</row>
    <row r="105" ht="12.0" customHeight="1">
      <c r="A105" s="39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ht="12.0" customHeight="1">
      <c r="A106" s="39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</row>
    <row r="107" ht="12.0" customHeight="1">
      <c r="A107" s="39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</row>
    <row r="108" ht="12.0" customHeight="1">
      <c r="A108" s="39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</row>
    <row r="109" ht="12.0" customHeight="1">
      <c r="A109" s="39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ht="12.0" customHeight="1">
      <c r="A110" s="39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</row>
    <row r="111" ht="12.0" customHeight="1">
      <c r="A111" s="39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</row>
    <row r="112" ht="12.0" customHeight="1">
      <c r="A112" s="39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</row>
    <row r="113" ht="12.0" customHeight="1">
      <c r="A113" s="39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ht="12.0" customHeight="1">
      <c r="A114" s="39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</row>
    <row r="115" ht="12.0" customHeight="1">
      <c r="A115" s="39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</row>
    <row r="116" ht="12.0" customHeight="1">
      <c r="A116" s="39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</row>
    <row r="117" ht="12.0" customHeight="1">
      <c r="A117" s="39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</row>
    <row r="118" ht="12.0" customHeight="1">
      <c r="A118" s="39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</row>
    <row r="119" ht="12.0" customHeight="1">
      <c r="A119" s="39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</row>
    <row r="120" ht="12.0" customHeight="1">
      <c r="A120" s="39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</row>
    <row r="121" ht="12.0" customHeight="1">
      <c r="A121" s="39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</row>
    <row r="122" ht="12.0" customHeight="1">
      <c r="A122" s="39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</row>
    <row r="123" ht="12.0" customHeight="1">
      <c r="A123" s="39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</row>
    <row r="124" ht="12.0" customHeight="1">
      <c r="A124" s="39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</row>
    <row r="125" ht="12.0" customHeight="1">
      <c r="A125" s="39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</row>
    <row r="126" ht="12.0" customHeight="1">
      <c r="A126" s="39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</row>
    <row r="127" ht="12.0" customHeight="1">
      <c r="A127" s="39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</row>
    <row r="128" ht="12.0" customHeight="1">
      <c r="A128" s="39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</row>
    <row r="129" ht="12.0" customHeight="1">
      <c r="A129" s="39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</row>
    <row r="130" ht="12.0" customHeight="1">
      <c r="A130" s="39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</row>
    <row r="131" ht="12.0" customHeight="1">
      <c r="A131" s="39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</row>
    <row r="132" ht="12.0" customHeight="1">
      <c r="A132" s="39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</row>
    <row r="133" ht="12.0" customHeight="1">
      <c r="A133" s="39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</row>
    <row r="134" ht="12.0" customHeight="1">
      <c r="A134" s="39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</row>
    <row r="135" ht="12.0" customHeight="1">
      <c r="A135" s="39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</row>
    <row r="136" ht="12.0" customHeight="1">
      <c r="A136" s="39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</row>
    <row r="137" ht="12.0" customHeight="1">
      <c r="A137" s="39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</row>
    <row r="138" ht="12.0" customHeight="1">
      <c r="A138" s="39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</row>
    <row r="139" ht="12.0" customHeight="1">
      <c r="A139" s="39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</row>
    <row r="140" ht="12.0" customHeight="1">
      <c r="A140" s="39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</row>
    <row r="141" ht="12.0" customHeight="1">
      <c r="A141" s="39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</row>
    <row r="142" ht="12.0" customHeight="1">
      <c r="A142" s="39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</row>
    <row r="143" ht="12.0" customHeight="1">
      <c r="A143" s="39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</row>
    <row r="144" ht="12.0" customHeight="1">
      <c r="A144" s="39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</row>
    <row r="145" ht="12.0" customHeight="1">
      <c r="A145" s="39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</row>
    <row r="146" ht="12.0" customHeight="1">
      <c r="A146" s="39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</row>
    <row r="147" ht="12.0" customHeight="1">
      <c r="A147" s="39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</row>
    <row r="148" ht="12.0" customHeight="1">
      <c r="A148" s="39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</row>
    <row r="149" ht="12.0" customHeight="1">
      <c r="A149" s="39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</row>
    <row r="150" ht="12.0" customHeight="1">
      <c r="A150" s="39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</row>
    <row r="151" ht="12.0" customHeight="1">
      <c r="A151" s="39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</row>
    <row r="152" ht="12.0" customHeight="1">
      <c r="A152" s="39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</row>
    <row r="153" ht="12.0" customHeight="1">
      <c r="A153" s="39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</row>
    <row r="154" ht="12.0" customHeight="1">
      <c r="A154" s="39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</row>
    <row r="155" ht="12.0" customHeight="1">
      <c r="A155" s="39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</row>
    <row r="156" ht="12.0" customHeight="1">
      <c r="A156" s="39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</row>
    <row r="157" ht="12.0" customHeight="1">
      <c r="A157" s="39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</row>
    <row r="158" ht="12.0" customHeight="1">
      <c r="A158" s="39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</row>
    <row r="159" ht="12.0" customHeight="1">
      <c r="A159" s="39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</row>
    <row r="160" ht="12.0" customHeight="1">
      <c r="A160" s="39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</row>
    <row r="161" ht="12.0" customHeight="1">
      <c r="A161" s="39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</row>
    <row r="162" ht="12.0" customHeight="1">
      <c r="A162" s="39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</row>
    <row r="163" ht="12.0" customHeight="1">
      <c r="A163" s="39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</row>
    <row r="164" ht="12.0" customHeight="1">
      <c r="A164" s="39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</row>
    <row r="165" ht="12.0" customHeight="1">
      <c r="A165" s="39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</row>
    <row r="166" ht="12.0" customHeight="1">
      <c r="A166" s="39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</row>
    <row r="167" ht="12.0" customHeight="1">
      <c r="A167" s="39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</row>
    <row r="168" ht="12.0" customHeight="1">
      <c r="A168" s="39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</row>
    <row r="169" ht="12.0" customHeight="1">
      <c r="A169" s="39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</row>
    <row r="170" ht="12.0" customHeight="1">
      <c r="A170" s="39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</row>
    <row r="171" ht="12.0" customHeight="1">
      <c r="A171" s="39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</row>
    <row r="172" ht="12.0" customHeight="1">
      <c r="A172" s="39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</row>
    <row r="173" ht="12.0" customHeight="1">
      <c r="A173" s="39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</row>
    <row r="174" ht="12.0" customHeight="1">
      <c r="A174" s="39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</row>
    <row r="175" ht="12.0" customHeight="1">
      <c r="A175" s="39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</row>
    <row r="176" ht="12.0" customHeight="1">
      <c r="A176" s="39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</row>
    <row r="177" ht="12.0" customHeight="1">
      <c r="A177" s="39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</row>
    <row r="178" ht="12.0" customHeight="1">
      <c r="A178" s="39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</row>
    <row r="179" ht="12.0" customHeight="1">
      <c r="A179" s="39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</row>
    <row r="180" ht="12.0" customHeight="1">
      <c r="A180" s="39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</row>
    <row r="181" ht="12.0" customHeight="1">
      <c r="A181" s="39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</row>
    <row r="182" ht="12.0" customHeight="1">
      <c r="A182" s="39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</row>
    <row r="183" ht="12.0" customHeight="1">
      <c r="A183" s="39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</row>
    <row r="184" ht="12.0" customHeight="1">
      <c r="A184" s="39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</row>
    <row r="185" ht="12.0" customHeight="1">
      <c r="A185" s="39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</row>
    <row r="186" ht="12.0" customHeight="1">
      <c r="A186" s="39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</row>
    <row r="187" ht="12.0" customHeight="1">
      <c r="A187" s="39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</row>
    <row r="188" ht="12.0" customHeight="1">
      <c r="A188" s="39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</row>
    <row r="189" ht="12.0" customHeight="1">
      <c r="A189" s="39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</row>
    <row r="190" ht="12.0" customHeight="1">
      <c r="A190" s="39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</row>
    <row r="191" ht="12.0" customHeight="1">
      <c r="A191" s="39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</row>
    <row r="192" ht="12.0" customHeight="1">
      <c r="A192" s="39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</row>
    <row r="193" ht="12.0" customHeight="1">
      <c r="A193" s="39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</row>
    <row r="194" ht="12.0" customHeight="1">
      <c r="A194" s="39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</row>
    <row r="195" ht="12.0" customHeight="1">
      <c r="A195" s="39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</row>
    <row r="196" ht="12.0" customHeight="1">
      <c r="A196" s="39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</row>
    <row r="197" ht="12.0" customHeight="1">
      <c r="A197" s="39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</row>
    <row r="198" ht="12.0" customHeight="1">
      <c r="A198" s="39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</row>
    <row r="199" ht="12.0" customHeight="1">
      <c r="A199" s="39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</row>
    <row r="200" ht="12.0" customHeight="1">
      <c r="A200" s="39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</row>
    <row r="201" ht="12.0" customHeight="1">
      <c r="A201" s="39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</row>
    <row r="202" ht="12.0" customHeight="1">
      <c r="A202" s="39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</row>
    <row r="203" ht="12.0" customHeight="1">
      <c r="A203" s="39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</row>
    <row r="204" ht="12.0" customHeight="1">
      <c r="A204" s="39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</row>
    <row r="205" ht="12.0" customHeight="1">
      <c r="A205" s="39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</row>
    <row r="206" ht="12.0" customHeight="1">
      <c r="A206" s="39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</row>
    <row r="207" ht="12.0" customHeight="1">
      <c r="A207" s="39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</row>
    <row r="208" ht="12.0" customHeight="1">
      <c r="A208" s="39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</row>
    <row r="209" ht="12.0" customHeight="1">
      <c r="A209" s="39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</row>
    <row r="210" ht="12.0" customHeight="1">
      <c r="A210" s="39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</row>
    <row r="211" ht="12.0" customHeight="1">
      <c r="A211" s="39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</row>
    <row r="212" ht="12.0" customHeight="1">
      <c r="A212" s="39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</row>
    <row r="213" ht="12.0" customHeight="1">
      <c r="A213" s="39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</row>
    <row r="214" ht="12.0" customHeight="1">
      <c r="A214" s="39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</row>
    <row r="215" ht="12.0" customHeight="1">
      <c r="A215" s="39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</row>
    <row r="216" ht="12.0" customHeight="1">
      <c r="A216" s="39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</row>
    <row r="217" ht="12.0" customHeight="1">
      <c r="A217" s="39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</row>
    <row r="218" ht="12.0" customHeight="1">
      <c r="A218" s="39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</row>
    <row r="219" ht="12.0" customHeight="1">
      <c r="A219" s="39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</row>
    <row r="220" ht="12.0" customHeight="1">
      <c r="A220" s="39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</row>
    <row r="221" ht="12.0" customHeight="1">
      <c r="A221" s="39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</row>
    <row r="222" ht="12.0" customHeight="1">
      <c r="A222" s="39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</row>
    <row r="223" ht="12.0" customHeight="1">
      <c r="A223" s="39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</row>
    <row r="224" ht="12.0" customHeight="1">
      <c r="A224" s="39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</row>
    <row r="225" ht="12.0" customHeight="1">
      <c r="A225" s="39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</row>
    <row r="226" ht="12.0" customHeight="1">
      <c r="A226" s="39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</row>
    <row r="227" ht="12.0" customHeight="1">
      <c r="A227" s="39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</row>
    <row r="228" ht="12.0" customHeight="1">
      <c r="A228" s="39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</row>
    <row r="229" ht="12.0" customHeight="1">
      <c r="A229" s="39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</row>
    <row r="230" ht="12.0" customHeight="1">
      <c r="A230" s="39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</row>
    <row r="231" ht="12.0" customHeight="1">
      <c r="A231" s="39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</row>
    <row r="232" ht="12.0" customHeight="1">
      <c r="A232" s="39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</row>
    <row r="233" ht="12.0" customHeight="1">
      <c r="A233" s="39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</row>
    <row r="234" ht="12.0" customHeight="1">
      <c r="A234" s="39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</row>
    <row r="235" ht="12.0" customHeight="1">
      <c r="A235" s="39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</row>
    <row r="236" ht="12.0" customHeight="1">
      <c r="A236" s="39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</row>
    <row r="237" ht="12.0" customHeight="1">
      <c r="A237" s="39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</row>
    <row r="238" ht="12.0" customHeight="1">
      <c r="A238" s="39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</row>
    <row r="239" ht="12.0" customHeight="1">
      <c r="A239" s="39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</row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Y$31"/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38"/>
    <col customWidth="1" min="2" max="2" width="18.38"/>
    <col customWidth="1" min="3" max="4" width="10.88"/>
    <col customWidth="1" min="5" max="5" width="22.38"/>
    <col customWidth="1" min="6" max="8" width="10.88"/>
    <col customWidth="1" min="9" max="26" width="10.63"/>
  </cols>
  <sheetData>
    <row r="1" ht="13.5" customHeight="1">
      <c r="A1" s="64" t="s">
        <v>116</v>
      </c>
      <c r="B1" s="65"/>
      <c r="C1" s="65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ht="13.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ht="13.5" customHeight="1">
      <c r="A3" s="66" t="s">
        <v>117</v>
      </c>
      <c r="B3" s="28"/>
      <c r="C3" s="28"/>
      <c r="D3" s="28"/>
      <c r="E3" s="64" t="s">
        <v>118</v>
      </c>
      <c r="F3" s="65"/>
      <c r="G3" s="65"/>
      <c r="H3" s="65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ht="13.5" customHeight="1">
      <c r="A4" s="67" t="s">
        <v>119</v>
      </c>
      <c r="B4" s="67" t="s">
        <v>120</v>
      </c>
      <c r="C4" s="67">
        <v>0.563</v>
      </c>
      <c r="D4" s="28"/>
      <c r="E4" s="67"/>
      <c r="F4" s="68" t="s">
        <v>121</v>
      </c>
      <c r="G4" s="68" t="s">
        <v>122</v>
      </c>
      <c r="H4" s="68" t="s">
        <v>123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3.5" customHeight="1">
      <c r="A5" s="67" t="s">
        <v>124</v>
      </c>
      <c r="B5" s="67" t="s">
        <v>125</v>
      </c>
      <c r="C5" s="67">
        <f>C4*365</f>
        <v>205.495</v>
      </c>
      <c r="D5" s="28"/>
      <c r="E5" s="69" t="s">
        <v>126</v>
      </c>
      <c r="F5" s="70">
        <f>C8</f>
        <v>38.8258085</v>
      </c>
      <c r="G5" s="67">
        <f>C14</f>
        <v>37.44762049</v>
      </c>
      <c r="H5" s="67">
        <f>C19</f>
        <v>34.23930456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ht="13.5" customHeight="1">
      <c r="A6" s="67" t="s">
        <v>127</v>
      </c>
      <c r="B6" s="67" t="s">
        <v>4</v>
      </c>
      <c r="C6" s="70">
        <f>'Assumptions &amp; Parameters'!C23</f>
        <v>190135.8274</v>
      </c>
      <c r="D6" s="28"/>
      <c r="E6" s="68" t="s">
        <v>128</v>
      </c>
      <c r="F6" s="71">
        <f>F5/G5</f>
        <v>1.036803086</v>
      </c>
      <c r="G6" s="71">
        <f>G5/G5</f>
        <v>1</v>
      </c>
      <c r="H6" s="71">
        <f>H5/G5</f>
        <v>0.9143252391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ht="13.5" customHeight="1">
      <c r="A7" s="68" t="str">
        <f>'Assumptions &amp; Parameters'!A25</f>
        <v>Percentage of Operating Cookstoves based on survey</v>
      </c>
      <c r="B7" s="68" t="s">
        <v>64</v>
      </c>
      <c r="C7" s="71">
        <f>'Assumptions &amp; Parameters'!C25</f>
        <v>0.9937</v>
      </c>
      <c r="D7" s="72"/>
      <c r="E7" s="28"/>
      <c r="F7" s="66"/>
      <c r="G7" s="66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ht="13.5" customHeight="1">
      <c r="A8" s="68" t="s">
        <v>129</v>
      </c>
      <c r="B8" s="68" t="s">
        <v>130</v>
      </c>
      <c r="C8" s="73">
        <f>C5*C6*C7/10^6</f>
        <v>38.8258085</v>
      </c>
      <c r="D8" s="72"/>
      <c r="E8" s="28"/>
      <c r="F8" s="66"/>
      <c r="G8" s="66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ht="13.5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ht="13.5" customHeight="1">
      <c r="A10" s="66" t="s">
        <v>131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ht="13.5" customHeight="1">
      <c r="A11" s="67" t="s">
        <v>132</v>
      </c>
      <c r="B11" s="67" t="s">
        <v>133</v>
      </c>
      <c r="C11" s="67">
        <f>'Vintage Breakdown'!B26</f>
        <v>62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ht="13.5" customHeight="1">
      <c r="A12" s="67" t="s">
        <v>134</v>
      </c>
      <c r="B12" s="67" t="s">
        <v>133</v>
      </c>
      <c r="C12" s="74">
        <f>'Vintage Breakdown'!D31</f>
        <v>7282.695544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ht="13.5" customHeight="1">
      <c r="A13" s="67" t="s">
        <v>135</v>
      </c>
      <c r="B13" s="67" t="s">
        <v>136</v>
      </c>
      <c r="C13" s="75">
        <f>'Vintage Breakdown'!E26</f>
        <v>5142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ht="13.5" customHeight="1">
      <c r="A14" s="67" t="s">
        <v>137</v>
      </c>
      <c r="B14" s="67" t="s">
        <v>130</v>
      </c>
      <c r="C14" s="68">
        <f>C12*C13/10^6</f>
        <v>37.44762049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ht="13.5" customHeight="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ht="13.5" customHeight="1">
      <c r="A16" s="66" t="s">
        <v>138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ht="13.5" customHeight="1">
      <c r="A17" s="67" t="s">
        <v>139</v>
      </c>
      <c r="B17" s="67" t="s">
        <v>140</v>
      </c>
      <c r="C17" s="67">
        <v>194.0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ht="13.5" customHeight="1">
      <c r="A18" s="67" t="s">
        <v>141</v>
      </c>
      <c r="B18" s="67" t="s">
        <v>80</v>
      </c>
      <c r="C18" s="70">
        <f>C6</f>
        <v>190135.8274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ht="13.5" customHeight="1">
      <c r="A19" s="67" t="s">
        <v>142</v>
      </c>
      <c r="B19" s="67" t="s">
        <v>130</v>
      </c>
      <c r="C19" s="68">
        <f>C17*C18*(1-'Assumptions &amp; Parameters'!C27)/10^6</f>
        <v>34.23930456</v>
      </c>
      <c r="D19" s="28" t="s">
        <v>143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ht="13.5" customHeight="1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ht="13.5" customHeight="1">
      <c r="A21" s="64" t="s">
        <v>144</v>
      </c>
      <c r="B21" s="65"/>
      <c r="C21" s="65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13.5" customHeight="1">
      <c r="A22" s="64" t="s">
        <v>145</v>
      </c>
      <c r="B22" s="65"/>
      <c r="C22" s="65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ht="13.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ht="13.5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ht="13.5" customHeight="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ht="13.5" customHeight="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ht="13.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ht="13.5" customHeight="1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ht="13.5" customHeight="1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ht="13.5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ht="13.5" customHeight="1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ht="13.5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ht="13.5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ht="13.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ht="13.5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ht="13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ht="13.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ht="13.5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ht="13.5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ht="13.5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ht="13.5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ht="13.5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ht="13.5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ht="13.5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ht="13.5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ht="13.5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ht="13.5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ht="13.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ht="13.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ht="13.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ht="13.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ht="13.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ht="13.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ht="13.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ht="13.5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ht="13.5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ht="13.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ht="13.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ht="13.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ht="13.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ht="13.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ht="13.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ht="13.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ht="13.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ht="13.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ht="13.5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ht="13.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ht="13.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ht="13.5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ht="13.5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ht="13.5" customHeight="1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ht="13.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ht="13.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ht="13.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ht="13.5" customHeight="1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ht="13.5" customHeight="1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ht="13.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ht="13.5" customHeight="1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ht="13.5" customHeight="1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ht="13.5" customHeight="1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ht="13.5" customHeight="1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ht="13.5" customHeight="1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ht="13.5" customHeight="1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ht="13.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ht="13.5" customHeight="1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ht="13.5" customHeight="1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ht="13.5" customHeight="1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ht="13.5" customHeight="1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ht="13.5" customHeight="1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ht="13.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ht="13.5" customHeight="1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ht="13.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ht="13.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ht="13.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ht="13.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ht="13.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ht="13.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ht="13.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ht="13.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ht="13.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ht="13.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ht="13.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ht="13.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ht="13.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ht="13.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ht="13.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ht="13.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ht="13.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ht="13.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ht="13.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ht="13.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ht="13.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ht="13.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ht="13.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ht="13.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ht="13.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ht="13.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ht="13.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ht="13.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ht="13.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ht="13.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ht="13.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ht="13.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ht="13.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ht="13.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ht="13.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ht="13.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ht="13.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ht="13.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ht="13.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ht="13.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ht="13.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ht="13.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ht="13.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ht="13.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ht="13.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ht="13.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ht="13.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ht="13.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ht="13.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ht="13.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ht="13.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ht="13.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ht="13.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ht="13.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ht="13.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ht="13.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ht="13.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ht="13.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ht="13.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ht="13.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ht="13.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ht="13.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ht="13.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ht="13.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ht="13.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ht="13.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ht="13.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ht="13.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ht="13.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ht="13.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ht="13.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ht="13.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ht="13.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ht="13.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ht="13.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ht="13.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ht="13.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ht="13.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ht="13.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ht="13.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ht="13.5" customHeight="1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ht="13.5" customHeight="1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ht="13.5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ht="13.5" customHeight="1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ht="13.5" customHeight="1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ht="13.5" customHeight="1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ht="13.5" customHeight="1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ht="13.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ht="13.5" customHeight="1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ht="13.5" customHeight="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ht="13.5" customHeight="1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ht="13.5" customHeight="1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ht="13.5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ht="13.5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ht="13.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ht="13.5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ht="13.5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ht="13.5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ht="13.5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ht="13.5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ht="13.5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ht="13.5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ht="13.5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ht="13.5" customHeight="1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ht="13.5" customHeight="1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ht="13.5" customHeight="1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ht="13.5" customHeight="1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ht="13.5" customHeight="1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ht="13.5" customHeight="1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ht="13.5" customHeight="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ht="13.5" customHeight="1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ht="13.5" customHeight="1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ht="13.5" customHeight="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ht="13.5" customHeight="1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ht="13.5" customHeight="1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ht="13.5" customHeight="1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ht="13.5" customHeight="1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ht="13.5" customHeight="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ht="13.5" customHeight="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ht="13.5" customHeight="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ht="13.5" customHeight="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ht="13.5" customHeight="1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ht="13.5" customHeight="1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ht="13.5" customHeight="1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ht="13.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ht="13.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ht="13.5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ht="13.5" customHeight="1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ht="13.5" customHeight="1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ht="13.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ht="13.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E3:H3"/>
    <mergeCell ref="A21:C21"/>
    <mergeCell ref="A22:C2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88"/>
    <col customWidth="1" min="2" max="2" width="19.13"/>
    <col customWidth="1" min="3" max="3" width="15.13"/>
    <col customWidth="1" min="4" max="6" width="12.88"/>
    <col customWidth="1" min="7" max="7" width="13.13"/>
    <col customWidth="1" min="8" max="8" width="14.63"/>
    <col customWidth="1" min="9" max="9" width="16.88"/>
    <col customWidth="1" min="10" max="26" width="10.63"/>
  </cols>
  <sheetData>
    <row r="1" ht="13.5" customHeight="1">
      <c r="A1" s="25" t="s">
        <v>146</v>
      </c>
      <c r="B1" s="25"/>
      <c r="C1" s="25"/>
      <c r="D1" s="25"/>
      <c r="E1" s="25"/>
      <c r="F1" s="25"/>
      <c r="G1" s="25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ht="13.5" customHeight="1">
      <c r="A2" s="28"/>
      <c r="B2" s="7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ht="13.5" customHeight="1">
      <c r="A3" s="28"/>
      <c r="B3" s="78"/>
      <c r="C3" s="79"/>
      <c r="D3" s="80" t="s">
        <v>147</v>
      </c>
      <c r="E3" s="80" t="s">
        <v>10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ht="13.5" customHeight="1">
      <c r="A4" s="28"/>
      <c r="B4" s="79" t="s">
        <v>148</v>
      </c>
      <c r="C4" s="81"/>
      <c r="D4" s="81">
        <f>BE!C18</f>
        <v>1040630.773</v>
      </c>
      <c r="E4" s="81">
        <f t="shared" ref="E4:E6" si="1">D4</f>
        <v>1040630.773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ht="13.5" customHeight="1">
      <c r="A5" s="28"/>
      <c r="B5" s="79" t="s">
        <v>149</v>
      </c>
      <c r="C5" s="82"/>
      <c r="D5" s="82">
        <f>PE!C28</f>
        <v>867.6069046</v>
      </c>
      <c r="E5" s="81">
        <f t="shared" si="1"/>
        <v>867.6069046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ht="13.5" customHeight="1">
      <c r="A6" s="28"/>
      <c r="B6" s="79" t="s">
        <v>150</v>
      </c>
      <c r="C6" s="83"/>
      <c r="D6" s="83">
        <f>ROUNDDOWN(D4-D5,0)</f>
        <v>1039763</v>
      </c>
      <c r="E6" s="83">
        <f t="shared" si="1"/>
        <v>1039763</v>
      </c>
      <c r="F6" s="84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ht="13.5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ht="13.5" customHeight="1">
      <c r="A8" s="28"/>
      <c r="B8" s="67"/>
      <c r="C8" s="68" t="s">
        <v>20</v>
      </c>
      <c r="D8" s="68" t="s">
        <v>151</v>
      </c>
      <c r="E8" s="68" t="s">
        <v>10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ht="13.5" customHeight="1">
      <c r="A9" s="28"/>
      <c r="B9" s="68" t="s">
        <v>152</v>
      </c>
      <c r="C9" s="67" t="s">
        <v>153</v>
      </c>
      <c r="D9" s="67">
        <f>E14</f>
        <v>537163</v>
      </c>
      <c r="E9" s="68">
        <f t="shared" ref="E9:E10" si="2">D9</f>
        <v>537163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ht="13.5" customHeight="1">
      <c r="A10" s="28"/>
      <c r="B10" s="68" t="s">
        <v>154</v>
      </c>
      <c r="C10" s="67" t="s">
        <v>80</v>
      </c>
      <c r="D10" s="74">
        <f>'Db Summary'!E9</f>
        <v>190135.8274</v>
      </c>
      <c r="E10" s="85">
        <f t="shared" si="2"/>
        <v>190135.8274</v>
      </c>
      <c r="F10" s="28" t="s">
        <v>155</v>
      </c>
      <c r="G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ht="13.5" customHeight="1">
      <c r="A11" s="28"/>
      <c r="B11" s="66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ht="13.5" customHeight="1">
      <c r="A12" s="25" t="s">
        <v>156</v>
      </c>
      <c r="B12" s="25"/>
      <c r="C12" s="25"/>
      <c r="D12" s="25"/>
      <c r="E12" s="25"/>
      <c r="F12" s="25"/>
      <c r="G12" s="25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ht="13.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ht="13.5" customHeight="1">
      <c r="A14" s="28"/>
      <c r="B14" s="79" t="s">
        <v>157</v>
      </c>
      <c r="C14" s="79"/>
      <c r="D14" s="79"/>
      <c r="E14" s="79">
        <f>E21</f>
        <v>537163</v>
      </c>
      <c r="F14" s="86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ht="13.5" customHeight="1">
      <c r="A15" s="28"/>
      <c r="B15" s="69" t="s">
        <v>158</v>
      </c>
      <c r="C15" s="69"/>
      <c r="D15" s="69"/>
      <c r="E15" s="87">
        <f>'Db Summary'!C13</f>
        <v>360380</v>
      </c>
      <c r="F15" s="86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ht="13.5" customHeight="1">
      <c r="A16" s="28"/>
      <c r="B16" s="69" t="s">
        <v>159</v>
      </c>
      <c r="C16" s="69" t="s">
        <v>160</v>
      </c>
      <c r="D16" s="69" t="s">
        <v>161</v>
      </c>
      <c r="E16" s="69" t="s">
        <v>162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ht="13.5" customHeight="1">
      <c r="A17" s="28"/>
      <c r="B17" s="88">
        <v>44652.0</v>
      </c>
      <c r="C17" s="88">
        <v>44681.0</v>
      </c>
      <c r="D17" s="89">
        <f>'Db Summary'!B14</f>
        <v>38919</v>
      </c>
      <c r="E17" s="89">
        <f>E15+D17</f>
        <v>399299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ht="13.5" customHeight="1">
      <c r="A18" s="28"/>
      <c r="B18" s="88">
        <v>44682.0</v>
      </c>
      <c r="C18" s="88">
        <v>44712.0</v>
      </c>
      <c r="D18" s="89">
        <f>'Db Summary'!B15</f>
        <v>34047</v>
      </c>
      <c r="E18" s="89">
        <f t="shared" ref="E18:E21" si="3">E17+D18</f>
        <v>433346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ht="13.5" customHeight="1">
      <c r="A19" s="28"/>
      <c r="B19" s="88">
        <v>44713.0</v>
      </c>
      <c r="C19" s="88">
        <v>44742.0</v>
      </c>
      <c r="D19" s="89">
        <f>'Db Summary'!B16</f>
        <v>39421</v>
      </c>
      <c r="E19" s="89">
        <f t="shared" si="3"/>
        <v>472767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ht="13.5" customHeight="1">
      <c r="A20" s="28"/>
      <c r="B20" s="88">
        <v>44743.0</v>
      </c>
      <c r="C20" s="88">
        <v>44773.0</v>
      </c>
      <c r="D20" s="89">
        <f>'Db Summary'!B17</f>
        <v>39914</v>
      </c>
      <c r="E20" s="89">
        <f t="shared" si="3"/>
        <v>512681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ht="13.5" customHeight="1">
      <c r="A21" s="28"/>
      <c r="B21" s="88">
        <v>44774.0</v>
      </c>
      <c r="C21" s="88">
        <v>44804.0</v>
      </c>
      <c r="D21" s="89">
        <f>'Db Summary'!B18</f>
        <v>24482</v>
      </c>
      <c r="E21" s="89">
        <f t="shared" si="3"/>
        <v>537163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ht="13.5" customHeight="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ht="13.5" customHeight="1">
      <c r="A23" s="25" t="s">
        <v>163</v>
      </c>
      <c r="B23" s="25"/>
      <c r="C23" s="25"/>
      <c r="D23" s="25"/>
      <c r="E23" s="25"/>
      <c r="F23" s="25"/>
      <c r="G23" s="25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ht="13.5" customHeight="1">
      <c r="A24" s="90"/>
      <c r="B24" s="90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ht="26.25" customHeight="1">
      <c r="A25" s="28"/>
      <c r="B25" s="91" t="s">
        <v>164</v>
      </c>
      <c r="C25" s="91" t="s">
        <v>165</v>
      </c>
      <c r="D25" s="91" t="s">
        <v>166</v>
      </c>
      <c r="E25" s="91" t="s">
        <v>167</v>
      </c>
      <c r="F25" s="86"/>
      <c r="G25" s="86"/>
      <c r="H25" s="86"/>
      <c r="I25" s="86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ht="13.5" customHeight="1">
      <c r="A26" s="28"/>
      <c r="B26" s="92">
        <v>62.0</v>
      </c>
      <c r="C26" s="92">
        <v>7918.0</v>
      </c>
      <c r="D26" s="93">
        <v>454598.0</v>
      </c>
      <c r="E26" s="75">
        <v>5142.0</v>
      </c>
      <c r="F26" s="86"/>
      <c r="G26" s="86"/>
      <c r="H26" s="86"/>
      <c r="I26" s="86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ht="13.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ht="13.5" customHeight="1">
      <c r="A28" s="28"/>
      <c r="B28" s="94" t="s">
        <v>168</v>
      </c>
      <c r="C28" s="95" t="s">
        <v>169</v>
      </c>
      <c r="D28" s="95" t="s">
        <v>170</v>
      </c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ht="13.5" customHeight="1">
      <c r="A29" s="28"/>
      <c r="B29" s="94" t="s">
        <v>171</v>
      </c>
      <c r="C29" s="92">
        <f>'Db Summary'!B9</f>
        <v>39659</v>
      </c>
      <c r="D29" s="92">
        <f>'Db Summary'!D9</f>
        <v>537163</v>
      </c>
      <c r="E29" s="96" t="s">
        <v>172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ht="13.5" customHeight="1">
      <c r="A30" s="28"/>
      <c r="B30" s="94" t="s">
        <v>173</v>
      </c>
      <c r="C30" s="93">
        <f>'Db Summary'!C9</f>
        <v>16586.46</v>
      </c>
      <c r="D30" s="93">
        <f>'Db Summary'!E9</f>
        <v>190135.8274</v>
      </c>
      <c r="E30" s="96" t="s">
        <v>155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ht="13.5" customHeight="1">
      <c r="A31" s="28"/>
      <c r="B31" s="97" t="s">
        <v>174</v>
      </c>
      <c r="C31" s="98">
        <f t="shared" ref="C31:D31" si="4">$C$26*( C30/ SUM($C$30:$D$30) )</f>
        <v>635.3044556</v>
      </c>
      <c r="D31" s="98">
        <f t="shared" si="4"/>
        <v>7282.695544</v>
      </c>
      <c r="E31" s="96" t="s">
        <v>175</v>
      </c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ht="13.5" customHeight="1">
      <c r="A32" s="28"/>
      <c r="B32" s="94" t="s">
        <v>176</v>
      </c>
      <c r="C32" s="98">
        <f t="shared" ref="C32:D32" si="5">$D$26*( C30/ SUM($C$30:$D$30) )</f>
        <v>36474.88443</v>
      </c>
      <c r="D32" s="98">
        <f t="shared" si="5"/>
        <v>418123.1156</v>
      </c>
      <c r="E32" s="96" t="s">
        <v>175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ht="15.0" customHeight="1">
      <c r="A33" s="28"/>
      <c r="B33" s="94" t="s">
        <v>177</v>
      </c>
      <c r="C33" s="93">
        <f t="shared" ref="C33:D33" si="6">C31*$E$26/10^6</f>
        <v>3.266735511</v>
      </c>
      <c r="D33" s="93">
        <f t="shared" si="6"/>
        <v>37.44762049</v>
      </c>
      <c r="E33" s="96" t="s">
        <v>178</v>
      </c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ht="13.5" customHeight="1">
      <c r="A34" s="28"/>
      <c r="B34" s="94" t="s">
        <v>179</v>
      </c>
      <c r="C34" s="99">
        <f t="shared" ref="C34:D34" si="7">C33*95%</f>
        <v>3.103398735</v>
      </c>
      <c r="D34" s="99">
        <f t="shared" si="7"/>
        <v>35.57523946</v>
      </c>
      <c r="E34" s="96" t="s">
        <v>180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ht="13.5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ht="13.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ht="13.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ht="13.5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ht="13.5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ht="13.5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ht="13.5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ht="13.5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ht="13.5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ht="13.5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ht="13.5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ht="13.5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ht="13.5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ht="13.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ht="13.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ht="13.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ht="13.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ht="13.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ht="13.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ht="13.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ht="13.5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ht="13.5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ht="13.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ht="13.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ht="13.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ht="13.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ht="13.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ht="13.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ht="13.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ht="13.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ht="13.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ht="13.5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ht="13.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ht="13.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ht="13.5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ht="13.5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ht="13.5" customHeight="1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ht="13.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ht="13.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ht="13.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ht="13.5" customHeight="1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ht="13.5" customHeight="1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ht="13.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ht="13.5" customHeight="1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ht="13.5" customHeight="1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ht="13.5" customHeight="1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ht="13.5" customHeight="1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ht="13.5" customHeight="1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ht="13.5" customHeight="1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ht="13.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ht="13.5" customHeight="1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ht="13.5" customHeight="1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ht="13.5" customHeight="1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ht="13.5" customHeight="1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ht="13.5" customHeight="1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ht="13.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ht="13.5" customHeight="1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ht="13.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ht="13.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ht="13.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ht="13.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ht="13.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ht="13.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ht="13.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ht="13.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ht="13.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ht="13.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ht="13.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ht="13.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ht="13.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ht="13.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ht="13.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ht="13.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ht="13.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ht="13.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ht="13.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ht="13.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ht="13.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ht="13.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ht="13.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ht="13.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ht="13.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ht="13.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ht="13.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ht="13.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ht="13.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ht="13.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ht="13.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ht="13.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ht="13.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ht="13.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ht="13.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ht="13.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ht="13.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ht="13.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ht="13.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ht="13.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ht="13.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ht="13.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ht="13.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ht="13.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ht="13.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ht="13.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ht="13.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ht="13.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ht="13.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ht="13.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ht="13.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ht="13.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ht="13.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ht="13.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ht="13.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ht="13.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ht="13.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ht="13.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ht="13.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ht="13.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ht="13.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ht="13.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ht="13.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ht="13.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ht="13.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ht="13.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ht="13.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ht="13.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ht="13.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ht="13.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ht="13.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ht="13.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ht="13.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ht="13.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ht="13.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ht="13.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ht="13.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ht="13.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ht="13.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ht="13.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ht="13.5" customHeight="1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ht="13.5" customHeight="1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ht="13.5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ht="13.5" customHeight="1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ht="13.5" customHeight="1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ht="13.5" customHeight="1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ht="13.5" customHeight="1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ht="13.5" customHeight="1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ht="13.5" customHeight="1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ht="13.5" customHeight="1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ht="13.5" customHeight="1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ht="13.5" customHeight="1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ht="13.5" customHeight="1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ht="13.5" customHeight="1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ht="13.5" customHeight="1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ht="13.5" customHeight="1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ht="13.5" customHeight="1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ht="13.5" customHeight="1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ht="13.5" customHeight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ht="13.5" customHeight="1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ht="13.5" customHeight="1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ht="13.5" customHeight="1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ht="13.5" customHeight="1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ht="13.5" customHeight="1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ht="13.5" customHeight="1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ht="13.5" customHeight="1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ht="13.5" customHeight="1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ht="13.5" customHeight="1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ht="13.5" customHeight="1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ht="13.5" customHeight="1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ht="13.5" customHeight="1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ht="13.5" customHeight="1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ht="13.5" customHeight="1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ht="13.5" customHeight="1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ht="13.5" customHeight="1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ht="13.5" customHeight="1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ht="13.5" customHeight="1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ht="13.5" customHeight="1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ht="13.5" customHeight="1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ht="13.5" customHeight="1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ht="13.5" customHeight="1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ht="13.5" customHeight="1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ht="13.5" customHeight="1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ht="13.5" customHeight="1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ht="13.5" customHeight="1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ht="13.5" customHeight="1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ht="13.5" customHeight="1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ht="13.5" customHeight="1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ht="13.5" customHeight="1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ht="13.5" customHeight="1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ht="13.5" customHeight="1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ht="13.5" customHeight="1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ht="13.5" customHeight="1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ht="13.5" customHeight="1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ht="13.5" customHeight="1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ht="13.5" customHeight="1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ht="13.5" customHeight="1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ht="13.5" customHeight="1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ht="13.5" customHeight="1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ht="13.5" customHeight="1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ht="13.5" customHeight="1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ht="13.5" customHeight="1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ht="13.5" customHeight="1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63"/>
    <col customWidth="1" min="2" max="2" width="39.0"/>
    <col customWidth="1" min="3" max="3" width="15.13"/>
    <col customWidth="1" min="4" max="4" width="15.38"/>
    <col customWidth="1" min="5" max="5" width="20.38"/>
    <col customWidth="1" min="6" max="6" width="11.38"/>
    <col customWidth="1" min="7" max="7" width="39.0"/>
    <col customWidth="1" min="8" max="8" width="15.13"/>
    <col customWidth="1" min="9" max="9" width="15.38"/>
    <col customWidth="1" min="10" max="10" width="17.38"/>
    <col customWidth="1" min="11" max="26" width="9.13"/>
  </cols>
  <sheetData>
    <row r="1">
      <c r="A1" s="100"/>
      <c r="B1" s="64" t="s">
        <v>181</v>
      </c>
      <c r="C1" s="65"/>
      <c r="D1" s="65"/>
      <c r="E1" s="101"/>
      <c r="F1" s="100"/>
      <c r="G1" s="64" t="s">
        <v>182</v>
      </c>
      <c r="H1" s="65"/>
      <c r="I1" s="65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>
      <c r="A2" s="100"/>
      <c r="B2" s="102" t="s">
        <v>183</v>
      </c>
      <c r="C2" s="103" t="s">
        <v>148</v>
      </c>
      <c r="D2" s="103" t="s">
        <v>149</v>
      </c>
      <c r="E2" s="104" t="s">
        <v>184</v>
      </c>
      <c r="F2" s="100"/>
      <c r="G2" s="105" t="s">
        <v>183</v>
      </c>
      <c r="H2" s="106" t="s">
        <v>185</v>
      </c>
      <c r="I2" s="107" t="s">
        <v>186</v>
      </c>
      <c r="J2" s="108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3">
      <c r="A3" s="100"/>
      <c r="B3" s="109" t="s">
        <v>187</v>
      </c>
      <c r="C3" s="110">
        <f>BE!C18</f>
        <v>1040630.773</v>
      </c>
      <c r="D3" s="111"/>
      <c r="E3" s="112"/>
      <c r="F3" s="113"/>
      <c r="G3" s="109" t="s">
        <v>188</v>
      </c>
      <c r="H3" s="110">
        <v>1081893.0</v>
      </c>
      <c r="I3" s="114">
        <f>H3*'Assumptions &amp; Parameters'!C22/200000</f>
        <v>2905764.448</v>
      </c>
      <c r="J3" s="108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</row>
    <row r="4">
      <c r="A4" s="100"/>
      <c r="B4" s="115" t="s">
        <v>189</v>
      </c>
      <c r="C4" s="116"/>
      <c r="D4" s="117">
        <f>PE!C25</f>
        <v>125.0855424</v>
      </c>
      <c r="E4" s="112"/>
      <c r="F4" s="100"/>
      <c r="G4" s="109" t="s">
        <v>190</v>
      </c>
      <c r="H4" s="116">
        <f>'Assumptions &amp; Parameters'!C20-'Assumptions &amp; Parameters'!C19</f>
        <v>152</v>
      </c>
      <c r="I4" s="118">
        <f>H4</f>
        <v>152</v>
      </c>
      <c r="J4" s="108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</row>
    <row r="5">
      <c r="A5" s="100"/>
      <c r="B5" s="119" t="s">
        <v>191</v>
      </c>
      <c r="C5" s="111"/>
      <c r="D5" s="117">
        <f>PE!C26</f>
        <v>415.6036353</v>
      </c>
      <c r="E5" s="112"/>
      <c r="F5" s="100"/>
      <c r="G5" s="120" t="s">
        <v>192</v>
      </c>
      <c r="H5" s="121">
        <f t="shared" ref="H5:I5" si="1">ROUNDDOWN(H3*H4/365,0)</f>
        <v>450541</v>
      </c>
      <c r="I5" s="122">
        <f t="shared" si="1"/>
        <v>1210071</v>
      </c>
      <c r="J5" s="108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</row>
    <row r="6">
      <c r="A6" s="100"/>
      <c r="B6" s="115" t="s">
        <v>193</v>
      </c>
      <c r="C6" s="111"/>
      <c r="D6" s="117">
        <f>PE!C27</f>
        <v>326.9177269</v>
      </c>
      <c r="E6" s="112"/>
      <c r="F6" s="123"/>
      <c r="G6" s="108"/>
      <c r="H6" s="108"/>
      <c r="I6" s="108"/>
      <c r="J6" s="108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>
      <c r="A7" s="100"/>
      <c r="B7" s="124" t="s">
        <v>194</v>
      </c>
      <c r="C7" s="125">
        <f>ROUNDDOWN(SUM(C3:C6),0)</f>
        <v>1040630</v>
      </c>
      <c r="D7" s="125">
        <f>ROUNDUP(SUM(D3:D6),0)</f>
        <v>868</v>
      </c>
      <c r="E7" s="126">
        <f>ROUNDDOWN(C7-D7,0)</f>
        <v>1039762</v>
      </c>
      <c r="F7" s="113"/>
      <c r="G7" s="108"/>
      <c r="H7" s="108"/>
      <c r="I7" s="108"/>
      <c r="J7" s="108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</row>
    <row r="8">
      <c r="A8" s="100"/>
      <c r="B8" s="100"/>
      <c r="C8" s="113"/>
      <c r="D8" s="123"/>
      <c r="E8" s="113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</row>
    <row r="9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</row>
    <row r="11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</row>
    <row r="12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</row>
    <row r="13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</row>
    <row r="14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</row>
    <row r="15">
      <c r="A15" s="127"/>
      <c r="B15" s="127"/>
      <c r="C15" s="127"/>
      <c r="D15" s="128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</row>
    <row r="17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</row>
    <row r="18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</row>
    <row r="19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</row>
    <row r="20">
      <c r="A20" s="127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</row>
    <row r="21" ht="15.75" customHeight="1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</row>
    <row r="22" ht="15.75" customHeight="1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</row>
    <row r="23" ht="15.75" customHeight="1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</row>
    <row r="24" ht="15.75" customHeight="1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</row>
    <row r="25" ht="15.75" customHeight="1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</row>
    <row r="26" ht="15.75" customHeight="1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</row>
    <row r="27" ht="15.75" customHeight="1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</row>
    <row r="28" ht="15.75" customHeight="1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</row>
    <row r="29" ht="15.75" customHeight="1">
      <c r="A29" s="127"/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</row>
    <row r="30" ht="15.75" customHeight="1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</row>
    <row r="31" ht="15.75" customHeight="1">
      <c r="A31" s="127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</row>
    <row r="32" ht="15.75" customHeight="1">
      <c r="A32" s="127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</row>
    <row r="33" ht="15.75" customHeight="1">
      <c r="A33" s="127"/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</row>
    <row r="34" ht="15.75" customHeight="1">
      <c r="A34" s="127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</row>
    <row r="35" ht="15.75" customHeight="1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</row>
    <row r="36" ht="15.75" customHeight="1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</row>
    <row r="37" ht="15.75" customHeight="1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</row>
    <row r="38" ht="15.75" customHeight="1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</row>
    <row r="39" ht="15.75" customHeight="1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</row>
    <row r="40" ht="15.75" customHeight="1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</row>
    <row r="41" ht="15.75" customHeight="1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</row>
    <row r="42" ht="15.75" customHeight="1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</row>
    <row r="43" ht="15.75" customHeight="1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</row>
    <row r="44" ht="15.75" customHeight="1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</row>
    <row r="45" ht="15.75" customHeight="1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</row>
    <row r="46" ht="15.75" customHeight="1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</row>
    <row r="47" ht="15.75" customHeight="1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</row>
    <row r="48" ht="15.75" customHeight="1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</row>
    <row r="49" ht="15.75" customHeight="1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</row>
    <row r="50" ht="15.75" customHeight="1">
      <c r="A50" s="127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</row>
    <row r="51" ht="15.75" customHeight="1">
      <c r="A51" s="127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</row>
    <row r="52" ht="15.75" customHeight="1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</row>
    <row r="53" ht="15.75" customHeight="1">
      <c r="A53" s="127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</row>
    <row r="54" ht="15.75" customHeight="1">
      <c r="A54" s="127"/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</row>
    <row r="55" ht="15.75" customHeight="1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</row>
    <row r="56" ht="15.75" customHeight="1">
      <c r="A56" s="127"/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</row>
    <row r="57" ht="15.75" customHeight="1">
      <c r="A57" s="127"/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</row>
    <row r="58" ht="15.75" customHeight="1">
      <c r="A58" s="127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</row>
    <row r="59" ht="15.75" customHeight="1">
      <c r="A59" s="127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</row>
    <row r="60" ht="15.75" customHeight="1">
      <c r="A60" s="127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</row>
    <row r="61" ht="15.75" customHeight="1">
      <c r="A61" s="127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</row>
    <row r="62" ht="15.75" customHeight="1">
      <c r="A62" s="127"/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</row>
    <row r="63" ht="15.75" customHeight="1">
      <c r="A63" s="127"/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</row>
    <row r="64" ht="15.75" customHeight="1">
      <c r="A64" s="127"/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</row>
    <row r="65" ht="15.75" customHeight="1">
      <c r="A65" s="127"/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</row>
    <row r="66" ht="15.75" customHeight="1">
      <c r="A66" s="127"/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</row>
    <row r="67" ht="15.75" customHeight="1">
      <c r="A67" s="127"/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</row>
    <row r="68" ht="15.75" customHeight="1">
      <c r="A68" s="127"/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</row>
    <row r="69" ht="15.75" customHeight="1">
      <c r="A69" s="127"/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</row>
    <row r="70" ht="15.75" customHeight="1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</row>
    <row r="71" ht="15.75" customHeight="1">
      <c r="A71" s="127"/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</row>
    <row r="72" ht="15.75" customHeight="1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</row>
    <row r="73" ht="15.75" customHeight="1">
      <c r="A73" s="127"/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</row>
    <row r="74" ht="15.75" customHeight="1">
      <c r="A74" s="127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</row>
    <row r="75" ht="15.75" customHeight="1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</row>
    <row r="76" ht="15.75" customHeight="1">
      <c r="A76" s="127"/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</row>
    <row r="77" ht="15.75" customHeight="1">
      <c r="A77" s="127"/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</row>
    <row r="78" ht="15.75" customHeight="1">
      <c r="A78" s="127"/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</row>
    <row r="79" ht="15.75" customHeight="1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</row>
    <row r="80" ht="15.75" customHeight="1">
      <c r="A80" s="127"/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</row>
    <row r="81" ht="15.75" customHeight="1">
      <c r="A81" s="127"/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</row>
    <row r="82" ht="15.75" customHeight="1">
      <c r="A82" s="127"/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</row>
    <row r="83" ht="15.75" customHeight="1">
      <c r="A83" s="127"/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</row>
    <row r="84" ht="15.75" customHeight="1">
      <c r="A84" s="127"/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</row>
    <row r="85" ht="15.75" customHeight="1">
      <c r="A85" s="127"/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</row>
    <row r="86" ht="15.75" customHeight="1">
      <c r="A86" s="127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</row>
    <row r="87" ht="15.75" customHeight="1">
      <c r="A87" s="127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</row>
    <row r="88" ht="15.75" customHeight="1">
      <c r="A88" s="127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</row>
    <row r="89" ht="15.75" customHeight="1">
      <c r="A89" s="127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</row>
    <row r="90" ht="15.75" customHeight="1">
      <c r="A90" s="127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</row>
    <row r="91" ht="15.75" customHeight="1">
      <c r="A91" s="127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</row>
    <row r="92" ht="15.75" customHeight="1">
      <c r="A92" s="127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</row>
    <row r="93" ht="15.75" customHeight="1">
      <c r="A93" s="127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</row>
    <row r="94" ht="15.75" customHeight="1">
      <c r="A94" s="127"/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</row>
    <row r="95" ht="15.75" customHeight="1">
      <c r="A95" s="127"/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</row>
    <row r="96" ht="15.75" customHeight="1">
      <c r="A96" s="127"/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</row>
    <row r="97" ht="15.75" customHeight="1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</row>
    <row r="98" ht="15.75" customHeight="1">
      <c r="A98" s="127"/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</row>
    <row r="99" ht="15.75" customHeight="1">
      <c r="A99" s="127"/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</row>
    <row r="100" ht="15.75" customHeight="1">
      <c r="A100" s="127"/>
      <c r="B100" s="127"/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</row>
    <row r="101" ht="15.75" customHeight="1">
      <c r="A101" s="127"/>
      <c r="B101" s="127"/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</row>
    <row r="102" ht="15.75" customHeight="1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</row>
    <row r="103" ht="15.75" customHeight="1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</row>
    <row r="104" ht="15.75" customHeight="1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</row>
    <row r="105" ht="15.75" customHeight="1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</row>
    <row r="106" ht="15.75" customHeight="1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</row>
    <row r="107" ht="15.75" customHeight="1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</row>
    <row r="108" ht="15.75" customHeight="1">
      <c r="A108" s="127"/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</row>
    <row r="109" ht="15.75" customHeight="1">
      <c r="A109" s="127"/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</row>
    <row r="110" ht="15.75" customHeight="1">
      <c r="A110" s="127"/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</row>
    <row r="111" ht="15.75" customHeight="1">
      <c r="A111" s="127"/>
      <c r="B111" s="127"/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</row>
    <row r="112" ht="15.75" customHeight="1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</row>
    <row r="113" ht="15.75" customHeight="1">
      <c r="A113" s="127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</row>
    <row r="114" ht="15.75" customHeight="1">
      <c r="A114" s="127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</row>
    <row r="115" ht="15.75" customHeight="1">
      <c r="A115" s="127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</row>
    <row r="116" ht="15.75" customHeight="1">
      <c r="A116" s="127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</row>
    <row r="117" ht="15.75" customHeight="1">
      <c r="A117" s="127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</row>
    <row r="118" ht="15.75" customHeight="1">
      <c r="A118" s="127"/>
      <c r="B118" s="127"/>
      <c r="C118" s="127"/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</row>
    <row r="119" ht="15.75" customHeight="1">
      <c r="A119" s="127"/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</row>
    <row r="120" ht="15.75" customHeight="1">
      <c r="A120" s="127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</row>
    <row r="121" ht="15.75" customHeight="1">
      <c r="A121" s="127"/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</row>
    <row r="122" ht="15.75" customHeight="1">
      <c r="A122" s="127"/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</row>
    <row r="123" ht="15.75" customHeight="1">
      <c r="A123" s="127"/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</row>
    <row r="124" ht="15.75" customHeight="1">
      <c r="A124" s="127"/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</row>
    <row r="125" ht="15.75" customHeight="1">
      <c r="A125" s="127"/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</row>
    <row r="126" ht="15.75" customHeight="1">
      <c r="A126" s="127"/>
      <c r="B126" s="127"/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</row>
    <row r="127" ht="15.75" customHeight="1">
      <c r="A127" s="127"/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</row>
    <row r="128" ht="15.75" customHeight="1">
      <c r="A128" s="127"/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</row>
    <row r="129" ht="15.75" customHeight="1">
      <c r="A129" s="127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</row>
    <row r="130" ht="15.75" customHeight="1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</row>
    <row r="131" ht="15.75" customHeight="1">
      <c r="A131" s="127"/>
      <c r="B131" s="127"/>
      <c r="C131" s="12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</row>
    <row r="132" ht="15.75" customHeight="1">
      <c r="A132" s="127"/>
      <c r="B132" s="127"/>
      <c r="C132" s="127"/>
      <c r="D132" s="127"/>
      <c r="E132" s="127"/>
      <c r="F132" s="127"/>
      <c r="G132" s="127"/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</row>
    <row r="133" ht="15.75" customHeight="1">
      <c r="A133" s="127"/>
      <c r="B133" s="127"/>
      <c r="C133" s="127"/>
      <c r="D133" s="127"/>
      <c r="E133" s="127"/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</row>
    <row r="134" ht="15.75" customHeight="1">
      <c r="A134" s="127"/>
      <c r="B134" s="127"/>
      <c r="C134" s="127"/>
      <c r="D134" s="127"/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</row>
    <row r="135" ht="15.75" customHeight="1">
      <c r="A135" s="127"/>
      <c r="B135" s="127"/>
      <c r="C135" s="127"/>
      <c r="D135" s="127"/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/>
    </row>
    <row r="136" ht="15.75" customHeight="1">
      <c r="A136" s="12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</row>
    <row r="137" ht="15.75" customHeight="1">
      <c r="A137" s="127"/>
      <c r="B137" s="127"/>
      <c r="C137" s="127"/>
      <c r="D137" s="127"/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</row>
    <row r="138" ht="15.75" customHeight="1">
      <c r="A138" s="127"/>
      <c r="B138" s="127"/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</row>
    <row r="139" ht="15.75" customHeight="1">
      <c r="A139" s="127"/>
      <c r="B139" s="127"/>
      <c r="C139" s="127"/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</row>
    <row r="140" ht="15.75" customHeight="1">
      <c r="A140" s="127"/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</row>
    <row r="141" ht="15.75" customHeight="1">
      <c r="A141" s="127"/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</row>
    <row r="142" ht="15.75" customHeight="1">
      <c r="A142" s="127"/>
      <c r="B142" s="127"/>
      <c r="C142" s="127"/>
      <c r="D142" s="127"/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</row>
    <row r="143" ht="15.75" customHeight="1">
      <c r="A143" s="127"/>
      <c r="B143" s="127"/>
      <c r="C143" s="12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</row>
    <row r="144" ht="15.75" customHeight="1">
      <c r="A144" s="127"/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127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</row>
    <row r="145" ht="15.75" customHeight="1">
      <c r="A145" s="127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</row>
    <row r="146" ht="15.75" customHeight="1">
      <c r="A146" s="127"/>
      <c r="B146" s="127"/>
      <c r="C146" s="127"/>
      <c r="D146" s="127"/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</row>
    <row r="147" ht="15.75" customHeight="1">
      <c r="A147" s="127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</row>
    <row r="148" ht="15.75" customHeight="1">
      <c r="A148" s="127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</row>
    <row r="149" ht="15.75" customHeight="1">
      <c r="A149" s="127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</row>
    <row r="150" ht="15.75" customHeight="1">
      <c r="A150" s="127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</row>
    <row r="151" ht="15.75" customHeight="1">
      <c r="A151" s="127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</row>
    <row r="152" ht="15.75" customHeight="1">
      <c r="A152" s="127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</row>
    <row r="153" ht="15.75" customHeight="1">
      <c r="A153" s="127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</row>
    <row r="154" ht="15.75" customHeight="1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</row>
    <row r="155" ht="15.75" customHeight="1">
      <c r="A155" s="127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</row>
    <row r="156" ht="15.75" customHeight="1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</row>
    <row r="157" ht="15.75" customHeight="1">
      <c r="A157" s="127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</row>
    <row r="158" ht="15.75" customHeight="1">
      <c r="A158" s="127"/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</row>
    <row r="159" ht="15.75" customHeight="1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</row>
    <row r="160" ht="15.75" customHeight="1">
      <c r="A160" s="127"/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</row>
    <row r="161" ht="15.75" customHeight="1">
      <c r="A161" s="127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</row>
    <row r="162" ht="15.75" customHeight="1">
      <c r="A162" s="127"/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</row>
    <row r="163" ht="15.75" customHeight="1">
      <c r="A163" s="127"/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</row>
    <row r="164" ht="15.75" customHeight="1">
      <c r="A164" s="127"/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</row>
    <row r="165" ht="15.75" customHeight="1">
      <c r="A165" s="127"/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</row>
    <row r="166" ht="15.75" customHeight="1">
      <c r="A166" s="127"/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</row>
    <row r="167" ht="15.75" customHeight="1">
      <c r="A167" s="127"/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</row>
    <row r="168" ht="15.75" customHeight="1">
      <c r="A168" s="127"/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</row>
    <row r="169" ht="15.75" customHeight="1">
      <c r="A169" s="127"/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</row>
    <row r="170" ht="15.75" customHeight="1">
      <c r="A170" s="127"/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</row>
    <row r="171" ht="15.75" customHeight="1">
      <c r="A171" s="127"/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</row>
    <row r="172" ht="15.75" customHeight="1">
      <c r="A172" s="127"/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</row>
    <row r="173" ht="15.75" customHeight="1">
      <c r="A173" s="127"/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</row>
    <row r="174" ht="15.75" customHeight="1">
      <c r="A174" s="127"/>
      <c r="B174" s="127"/>
      <c r="C174" s="127"/>
      <c r="D174" s="127"/>
      <c r="E174" s="127"/>
      <c r="F174" s="127"/>
      <c r="G174" s="127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</row>
    <row r="175" ht="15.75" customHeight="1">
      <c r="A175" s="127"/>
      <c r="B175" s="127"/>
      <c r="C175" s="127"/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</row>
    <row r="176" ht="15.75" customHeight="1">
      <c r="A176" s="127"/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7"/>
    </row>
    <row r="177" ht="15.75" customHeight="1">
      <c r="A177" s="127"/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</row>
    <row r="178" ht="15.75" customHeight="1">
      <c r="A178" s="127"/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</row>
    <row r="179" ht="15.75" customHeight="1">
      <c r="A179" s="127"/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</row>
    <row r="180" ht="15.75" customHeight="1">
      <c r="A180" s="127"/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</row>
    <row r="181" ht="15.75" customHeight="1">
      <c r="A181" s="127"/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</row>
    <row r="182" ht="15.75" customHeight="1">
      <c r="A182" s="127"/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</row>
    <row r="183" ht="15.75" customHeight="1">
      <c r="A183" s="127"/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/>
      <c r="V183" s="127"/>
      <c r="W183" s="127"/>
      <c r="X183" s="127"/>
      <c r="Y183" s="127"/>
      <c r="Z183" s="127"/>
    </row>
    <row r="184" ht="15.75" customHeight="1">
      <c r="A184" s="127"/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</row>
    <row r="185" ht="15.75" customHeight="1">
      <c r="A185" s="127"/>
      <c r="B185" s="127"/>
      <c r="C185" s="127"/>
      <c r="D185" s="127"/>
      <c r="E185" s="127"/>
      <c r="F185" s="127"/>
      <c r="G185" s="127"/>
      <c r="H185" s="127"/>
      <c r="I185" s="127"/>
      <c r="J185" s="127"/>
      <c r="K185" s="127"/>
      <c r="L185" s="127"/>
      <c r="M185" s="127"/>
      <c r="N185" s="127"/>
      <c r="O185" s="127"/>
      <c r="P185" s="127"/>
      <c r="Q185" s="127"/>
      <c r="R185" s="127"/>
      <c r="S185" s="127"/>
      <c r="T185" s="127"/>
      <c r="U185" s="127"/>
      <c r="V185" s="127"/>
      <c r="W185" s="127"/>
      <c r="X185" s="127"/>
      <c r="Y185" s="127"/>
      <c r="Z185" s="127"/>
    </row>
    <row r="186" ht="15.75" customHeight="1">
      <c r="A186" s="127"/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</row>
    <row r="187" ht="15.75" customHeight="1">
      <c r="A187" s="127"/>
      <c r="B187" s="127"/>
      <c r="C187" s="127"/>
      <c r="D187" s="127"/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</row>
    <row r="188" ht="15.75" customHeight="1">
      <c r="A188" s="127"/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</row>
    <row r="189" ht="15.75" customHeight="1">
      <c r="A189" s="127"/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</row>
    <row r="190" ht="15.75" customHeight="1">
      <c r="A190" s="127"/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</row>
    <row r="191" ht="15.75" customHeight="1">
      <c r="A191" s="127"/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</row>
    <row r="192" ht="15.75" customHeight="1">
      <c r="A192" s="127"/>
      <c r="B192" s="127"/>
      <c r="C192" s="127"/>
      <c r="D192" s="127"/>
      <c r="E192" s="127"/>
      <c r="F192" s="127"/>
      <c r="G192" s="127"/>
      <c r="H192" s="127"/>
      <c r="I192" s="127"/>
      <c r="J192" s="127"/>
      <c r="K192" s="127"/>
      <c r="L192" s="127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</row>
    <row r="193" ht="15.75" customHeight="1">
      <c r="A193" s="127"/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</row>
    <row r="194" ht="15.75" customHeight="1">
      <c r="A194" s="127"/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</row>
    <row r="195" ht="15.75" customHeight="1">
      <c r="A195" s="127"/>
      <c r="B195" s="127"/>
      <c r="C195" s="127"/>
      <c r="D195" s="127"/>
      <c r="E195" s="127"/>
      <c r="F195" s="127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</row>
    <row r="196" ht="15.75" customHeight="1">
      <c r="A196" s="127"/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/>
      <c r="T196" s="127"/>
      <c r="U196" s="127"/>
      <c r="V196" s="127"/>
      <c r="W196" s="127"/>
      <c r="X196" s="127"/>
      <c r="Y196" s="127"/>
      <c r="Z196" s="127"/>
    </row>
    <row r="197" ht="15.75" customHeight="1">
      <c r="A197" s="127"/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</row>
    <row r="198" ht="15.75" customHeight="1">
      <c r="A198" s="127"/>
      <c r="B198" s="127"/>
      <c r="C198" s="127"/>
      <c r="D198" s="127"/>
      <c r="E198" s="127"/>
      <c r="F198" s="127"/>
      <c r="G198" s="127"/>
      <c r="H198" s="127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</row>
    <row r="199" ht="15.75" customHeight="1">
      <c r="A199" s="127"/>
      <c r="B199" s="127"/>
      <c r="C199" s="127"/>
      <c r="D199" s="127"/>
      <c r="E199" s="127"/>
      <c r="F199" s="127"/>
      <c r="G199" s="127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</row>
    <row r="200" ht="15.75" customHeight="1">
      <c r="A200" s="127"/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 s="127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</row>
    <row r="201" ht="15.75" customHeight="1">
      <c r="A201" s="127"/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  <c r="W201" s="127"/>
      <c r="X201" s="127"/>
      <c r="Y201" s="127"/>
      <c r="Z201" s="127"/>
    </row>
    <row r="202" ht="15.75" customHeight="1">
      <c r="A202" s="127"/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</row>
    <row r="203" ht="15.75" customHeight="1">
      <c r="A203" s="127"/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</row>
    <row r="204" ht="15.75" customHeight="1">
      <c r="A204" s="127"/>
      <c r="B204" s="127"/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</row>
    <row r="205" ht="15.75" customHeight="1">
      <c r="A205" s="127"/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</row>
    <row r="206" ht="15.75" customHeight="1">
      <c r="A206" s="127"/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</row>
    <row r="207" ht="15.75" customHeight="1">
      <c r="A207" s="127"/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</row>
    <row r="208" ht="15.75" customHeight="1">
      <c r="A208" s="127"/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</row>
    <row r="209" ht="15.75" customHeight="1">
      <c r="A209" s="127"/>
      <c r="B209" s="127"/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</row>
    <row r="210" ht="15.75" customHeight="1">
      <c r="A210" s="127"/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</row>
    <row r="211" ht="15.75" customHeight="1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</row>
    <row r="212" ht="15.75" customHeight="1">
      <c r="A212" s="127"/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</row>
    <row r="213" ht="15.75" customHeight="1">
      <c r="A213" s="127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</row>
    <row r="214" ht="15.75" customHeight="1">
      <c r="A214" s="127"/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</row>
    <row r="215" ht="15.75" customHeight="1">
      <c r="A215" s="127"/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</row>
    <row r="216" ht="15.75" customHeight="1">
      <c r="A216" s="127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</row>
    <row r="217" ht="15.75" customHeight="1">
      <c r="A217" s="127"/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</row>
    <row r="218" ht="15.75" customHeight="1">
      <c r="A218" s="127"/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</row>
    <row r="219" ht="15.75" customHeight="1">
      <c r="A219" s="127"/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</row>
    <row r="220" ht="15.75" customHeight="1">
      <c r="A220" s="127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D1"/>
    <mergeCell ref="G1:I1"/>
  </mergeCell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3.0"/>
    <col customWidth="1" min="2" max="2" width="17.0"/>
    <col customWidth="1" min="3" max="3" width="15.13"/>
    <col customWidth="1" min="4" max="4" width="23.0"/>
    <col customWidth="1" min="5" max="5" width="41.88"/>
    <col customWidth="1" min="6" max="6" width="8.38"/>
    <col customWidth="1" min="7" max="7" width="26.38"/>
    <col customWidth="1" min="8" max="9" width="8.38"/>
    <col customWidth="1" min="10" max="24" width="8.88"/>
  </cols>
  <sheetData>
    <row r="1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>
      <c r="A2" s="25" t="s">
        <v>195</v>
      </c>
      <c r="B2" s="130"/>
      <c r="C2" s="130"/>
      <c r="D2" s="131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>
      <c r="A3" s="127" t="s">
        <v>196</v>
      </c>
      <c r="B3" s="132" t="s">
        <v>197</v>
      </c>
      <c r="C3" s="132" t="s">
        <v>198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>
      <c r="A4" s="127" t="s">
        <v>199</v>
      </c>
      <c r="B4" s="132" t="s">
        <v>200</v>
      </c>
      <c r="C4" s="132" t="s">
        <v>201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</row>
    <row r="5">
      <c r="A5" s="133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</row>
    <row r="6">
      <c r="A6" s="134" t="s">
        <v>17</v>
      </c>
      <c r="B6" s="134" t="s">
        <v>18</v>
      </c>
      <c r="C6" s="134" t="s">
        <v>19</v>
      </c>
      <c r="D6" s="134" t="s">
        <v>20</v>
      </c>
      <c r="E6" s="135"/>
      <c r="F6" s="136"/>
      <c r="G6" s="136"/>
      <c r="H6" s="136"/>
      <c r="I6" s="136"/>
      <c r="J6" s="136"/>
      <c r="K6" s="136"/>
      <c r="L6" s="136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>
      <c r="A7" s="26" t="s">
        <v>202</v>
      </c>
      <c r="B7" s="26" t="s">
        <v>203</v>
      </c>
      <c r="C7" s="26">
        <f>'Assumptions &amp; Parameters'!C22</f>
        <v>537163</v>
      </c>
      <c r="D7" s="26" t="s">
        <v>3</v>
      </c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</row>
    <row r="8">
      <c r="A8" s="39" t="s">
        <v>86</v>
      </c>
      <c r="B8" s="26" t="s">
        <v>204</v>
      </c>
      <c r="C8" s="47">
        <f>'Assumptions &amp; Parameters'!C24</f>
        <v>0.3517330339</v>
      </c>
      <c r="D8" s="26" t="s">
        <v>88</v>
      </c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</row>
    <row r="9">
      <c r="A9" s="137" t="s">
        <v>205</v>
      </c>
      <c r="B9" s="26" t="s">
        <v>206</v>
      </c>
      <c r="C9" s="138">
        <f>'Assumptions &amp; Parameters'!C12</f>
        <v>1.7062</v>
      </c>
      <c r="D9" s="50" t="s">
        <v>207</v>
      </c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</row>
    <row r="10">
      <c r="A10" s="39" t="s">
        <v>208</v>
      </c>
      <c r="B10" s="26" t="s">
        <v>209</v>
      </c>
      <c r="C10" s="139">
        <f>'Assumptions &amp; Parameters'!C27*'Assumptions &amp; Parameters'!C12</f>
        <v>0.1224406794</v>
      </c>
      <c r="D10" s="26" t="s">
        <v>210</v>
      </c>
      <c r="E10" s="129"/>
      <c r="F10" s="129"/>
      <c r="G10" s="140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</row>
    <row r="11">
      <c r="A11" s="137" t="s">
        <v>211</v>
      </c>
      <c r="B11" s="26" t="s">
        <v>212</v>
      </c>
      <c r="C11" s="141">
        <f>C9-C10</f>
        <v>1.583759321</v>
      </c>
      <c r="D11" s="50" t="s">
        <v>207</v>
      </c>
      <c r="E11" s="142"/>
      <c r="F11" s="129"/>
      <c r="G11" s="140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</row>
    <row r="12">
      <c r="A12" s="137" t="s">
        <v>213</v>
      </c>
      <c r="B12" s="137" t="s">
        <v>214</v>
      </c>
      <c r="C12" s="143">
        <f>'Assumptions &amp; Parameters'!C6</f>
        <v>0.9268</v>
      </c>
      <c r="D12" s="144" t="str">
        <f>'Assumptions &amp; Parameters'!D6</f>
        <v>Fraction,%</v>
      </c>
      <c r="E12" s="145"/>
      <c r="F12" s="129"/>
      <c r="G12" s="140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</row>
    <row r="13">
      <c r="A13" s="137" t="s">
        <v>215</v>
      </c>
      <c r="B13" s="137" t="s">
        <v>216</v>
      </c>
      <c r="C13" s="146">
        <f>'Assumptions &amp; Parameters'!C3</f>
        <v>0.0156</v>
      </c>
      <c r="D13" s="147" t="str">
        <f>'Assumptions &amp; Parameters'!D3</f>
        <v>TJ/Tonne</v>
      </c>
      <c r="E13" s="142"/>
      <c r="F13" s="129"/>
      <c r="G13" s="140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</row>
    <row r="14">
      <c r="A14" s="137" t="s">
        <v>217</v>
      </c>
      <c r="B14" s="137" t="s">
        <v>218</v>
      </c>
      <c r="C14" s="138">
        <f>'Assumptions &amp; Parameters'!C7</f>
        <v>63.7</v>
      </c>
      <c r="D14" s="148" t="str">
        <f>'Assumptions &amp; Parameters'!D7</f>
        <v>Tonnes CO2e/TJ</v>
      </c>
      <c r="E14" s="142"/>
      <c r="F14" s="129"/>
      <c r="G14" s="140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</row>
    <row r="15">
      <c r="A15" s="137" t="s">
        <v>40</v>
      </c>
      <c r="B15" s="26" t="s">
        <v>41</v>
      </c>
      <c r="C15" s="141">
        <f>'Assumptions &amp; Parameters'!C8</f>
        <v>0.95</v>
      </c>
      <c r="D15" s="149" t="str">
        <f>'Assumptions &amp; Parameters'!D8</f>
        <v>fraction </v>
      </c>
      <c r="E15" s="142"/>
      <c r="F15" s="129"/>
      <c r="G15" s="140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</row>
    <row r="16">
      <c r="A16" s="39" t="s">
        <v>219</v>
      </c>
      <c r="B16" s="26" t="s">
        <v>220</v>
      </c>
      <c r="C16" s="150">
        <f>'Assumptions &amp; Parameters'!C24</f>
        <v>0.3517330339</v>
      </c>
      <c r="D16" s="50" t="s">
        <v>88</v>
      </c>
      <c r="E16" s="142"/>
      <c r="F16" s="129"/>
      <c r="G16" s="140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</row>
    <row r="17">
      <c r="A17" s="151" t="s">
        <v>221</v>
      </c>
      <c r="B17" s="54"/>
      <c r="C17" s="152">
        <f>C11*C12*C13*C14*C15*C8</f>
        <v>0.4873893139</v>
      </c>
      <c r="D17" s="153" t="s">
        <v>222</v>
      </c>
      <c r="E17" s="142"/>
      <c r="F17" s="129"/>
      <c r="G17" s="140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</row>
    <row r="18">
      <c r="A18" s="154" t="s">
        <v>223</v>
      </c>
      <c r="B18" s="155" t="s">
        <v>224</v>
      </c>
      <c r="C18" s="156">
        <f>C17*'Assumptions &amp; Parameters'!C26*'Assumptions &amp; Parameters'!C13</f>
        <v>1040630.773</v>
      </c>
      <c r="D18" s="157" t="s">
        <v>225</v>
      </c>
      <c r="E18" s="158"/>
      <c r="F18" s="129"/>
      <c r="G18" s="140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</row>
    <row r="19">
      <c r="A19" s="159"/>
      <c r="B19" s="129"/>
      <c r="C19" s="160"/>
      <c r="D19" s="129"/>
      <c r="E19" s="129"/>
      <c r="F19" s="129"/>
      <c r="G19" s="140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</row>
    <row r="20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</row>
    <row r="21" ht="15.75" customHeight="1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</row>
    <row r="22" ht="15.75" customHeight="1">
      <c r="A22" s="129"/>
      <c r="B22" s="129"/>
      <c r="C22" s="129"/>
      <c r="D22" s="127"/>
      <c r="E22" s="127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</row>
    <row r="23" ht="15.75" customHeight="1">
      <c r="A23" s="129"/>
      <c r="B23" s="129"/>
      <c r="C23" s="129"/>
      <c r="D23" s="132"/>
      <c r="E23" s="127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</row>
    <row r="24" ht="15.75" customHeight="1">
      <c r="A24" s="129"/>
      <c r="B24" s="129"/>
      <c r="C24" s="129"/>
      <c r="D24" s="132"/>
      <c r="E24" s="127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</row>
    <row r="25" ht="15.75" customHeight="1">
      <c r="A25" s="129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</row>
    <row r="26" ht="15.75" customHeight="1">
      <c r="A26" s="129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</row>
    <row r="27" ht="15.75" customHeight="1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</row>
    <row r="28" ht="15.75" customHeight="1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</row>
    <row r="29" ht="15.75" customHeight="1">
      <c r="A29" s="129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</row>
    <row r="30" ht="15.75" customHeight="1">
      <c r="A30" s="129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</row>
    <row r="31" ht="15.75" customHeight="1">
      <c r="A31" s="129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</row>
    <row r="32" ht="15.75" customHeight="1">
      <c r="A32" s="129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</row>
    <row r="33" ht="15.75" customHeight="1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</row>
    <row r="34" ht="15.75" customHeight="1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</row>
    <row r="35" ht="15.75" customHeight="1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</row>
    <row r="36" ht="15.75" customHeight="1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</row>
    <row r="37" ht="15.75" customHeight="1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</row>
    <row r="38" ht="15.75" customHeight="1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</row>
    <row r="39" ht="15.75" customHeight="1">
      <c r="A39" s="129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</row>
    <row r="40" ht="15.75" customHeight="1">
      <c r="A40" s="12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</row>
    <row r="41" ht="15.75" customHeight="1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</row>
    <row r="42" ht="15.75" customHeight="1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</row>
    <row r="43" ht="15.75" customHeight="1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</row>
    <row r="44" ht="15.75" customHeight="1">
      <c r="A44" s="129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</row>
    <row r="45" ht="15.75" customHeight="1">
      <c r="A45" s="129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</row>
    <row r="46" ht="15.75" customHeight="1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</row>
    <row r="47" ht="15.75" customHeight="1">
      <c r="A47" s="129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</row>
    <row r="48" ht="15.75" customHeight="1">
      <c r="A48" s="129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</row>
    <row r="49" ht="15.75" customHeight="1">
      <c r="A49" s="129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</row>
    <row r="50" ht="15.75" customHeight="1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</row>
    <row r="51" ht="15.75" customHeight="1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</row>
    <row r="52" ht="15.75" customHeight="1">
      <c r="A52" s="129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</row>
    <row r="53" ht="15.75" customHeight="1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</row>
    <row r="54" ht="15.75" customHeight="1">
      <c r="A54" s="129"/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</row>
    <row r="55" ht="15.75" customHeight="1">
      <c r="A55" s="129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</row>
    <row r="56" ht="15.75" customHeight="1">
      <c r="A56" s="129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</row>
    <row r="57" ht="15.75" customHeight="1">
      <c r="A57" s="129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</row>
    <row r="58" ht="15.75" customHeight="1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</row>
    <row r="59" ht="15.75" customHeight="1">
      <c r="A59" s="129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</row>
    <row r="60" ht="15.75" customHeight="1">
      <c r="A60" s="129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</row>
    <row r="61" ht="15.75" customHeight="1">
      <c r="A61" s="129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</row>
    <row r="62" ht="15.75" customHeight="1">
      <c r="A62" s="129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</row>
    <row r="63" ht="15.75" customHeight="1">
      <c r="A63" s="129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</row>
    <row r="64" ht="15.75" customHeight="1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</row>
    <row r="65" ht="15.75" customHeight="1">
      <c r="A65" s="129"/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</row>
    <row r="66" ht="15.75" customHeight="1">
      <c r="A66" s="129"/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</row>
    <row r="67" ht="15.75" customHeight="1">
      <c r="A67" s="129"/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</row>
    <row r="68" ht="15.75" customHeight="1">
      <c r="A68" s="129"/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</row>
    <row r="69" ht="15.75" customHeight="1">
      <c r="A69" s="129"/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</row>
    <row r="70" ht="15.75" customHeight="1">
      <c r="A70" s="129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</row>
    <row r="71" ht="15.75" customHeight="1">
      <c r="A71" s="129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</row>
    <row r="72" ht="15.75" customHeight="1">
      <c r="A72" s="129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</row>
    <row r="73" ht="15.75" customHeight="1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</row>
    <row r="74" ht="15.75" customHeight="1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</row>
    <row r="75" ht="15.75" customHeight="1">
      <c r="A75" s="129"/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</row>
    <row r="76" ht="15.75" customHeight="1">
      <c r="A76" s="129"/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</row>
    <row r="77" ht="15.75" customHeight="1">
      <c r="A77" s="129"/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</row>
    <row r="78" ht="15.75" customHeight="1">
      <c r="A78" s="129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</row>
    <row r="79" ht="15.75" customHeight="1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</row>
    <row r="80" ht="15.75" customHeight="1">
      <c r="A80" s="129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</row>
    <row r="81" ht="15.75" customHeight="1">
      <c r="A81" s="129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</row>
    <row r="82" ht="15.75" customHeight="1">
      <c r="A82" s="129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</row>
    <row r="83" ht="15.75" customHeight="1">
      <c r="A83" s="129"/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</row>
    <row r="84" ht="15.75" customHeight="1">
      <c r="A84" s="129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</row>
    <row r="85" ht="15.75" customHeight="1">
      <c r="A85" s="129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</row>
    <row r="86" ht="15.75" customHeight="1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</row>
    <row r="87" ht="15.75" customHeight="1">
      <c r="A87" s="129"/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</row>
    <row r="88" ht="15.75" customHeight="1">
      <c r="A88" s="129"/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</row>
    <row r="89" ht="15.75" customHeight="1">
      <c r="A89" s="129"/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</row>
    <row r="90" ht="15.75" customHeight="1">
      <c r="A90" s="129"/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</row>
    <row r="91" ht="15.75" customHeight="1">
      <c r="A91" s="129"/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</row>
    <row r="92" ht="15.75" customHeight="1">
      <c r="A92" s="129"/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</row>
    <row r="93" ht="15.75" customHeight="1">
      <c r="A93" s="129"/>
      <c r="B93" s="129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</row>
    <row r="94" ht="15.75" customHeight="1">
      <c r="A94" s="129"/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</row>
    <row r="95" ht="15.75" customHeight="1">
      <c r="A95" s="129"/>
      <c r="B95" s="129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</row>
    <row r="96" ht="15.75" customHeight="1">
      <c r="A96" s="129"/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</row>
    <row r="97" ht="15.75" customHeight="1">
      <c r="A97" s="129"/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</row>
    <row r="98" ht="15.75" customHeight="1">
      <c r="A98" s="129"/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</row>
    <row r="99" ht="15.75" customHeight="1">
      <c r="A99" s="129"/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</row>
    <row r="100" ht="15.75" customHeight="1">
      <c r="A100" s="129"/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</row>
    <row r="101" ht="15.75" customHeight="1">
      <c r="A101" s="129"/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</row>
    <row r="102" ht="15.75" customHeight="1">
      <c r="A102" s="129"/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</row>
    <row r="103" ht="15.75" customHeight="1">
      <c r="A103" s="129"/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</row>
    <row r="104" ht="15.75" customHeight="1">
      <c r="A104" s="129"/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</row>
    <row r="105" ht="15.75" customHeight="1">
      <c r="A105" s="129"/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</row>
    <row r="106" ht="15.75" customHeight="1">
      <c r="A106" s="129"/>
      <c r="B106" s="129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</row>
    <row r="107" ht="15.75" customHeight="1">
      <c r="A107" s="129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</row>
    <row r="108" ht="15.75" customHeight="1">
      <c r="A108" s="129"/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</row>
    <row r="109" ht="15.75" customHeight="1">
      <c r="A109" s="129"/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</row>
    <row r="110" ht="15.75" customHeight="1">
      <c r="A110" s="129"/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</row>
    <row r="111" ht="15.75" customHeight="1">
      <c r="A111" s="129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</row>
    <row r="112" ht="15.75" customHeight="1">
      <c r="A112" s="129"/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</row>
    <row r="113" ht="15.75" customHeight="1">
      <c r="A113" s="129"/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</row>
    <row r="114" ht="15.75" customHeight="1">
      <c r="A114" s="129"/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</row>
    <row r="115" ht="15.75" customHeight="1">
      <c r="A115" s="129"/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  <c r="P115" s="129"/>
      <c r="Q115" s="129"/>
      <c r="R115" s="129"/>
      <c r="S115" s="129"/>
      <c r="T115" s="129"/>
      <c r="U115" s="129"/>
      <c r="V115" s="129"/>
      <c r="W115" s="129"/>
      <c r="X115" s="129"/>
    </row>
    <row r="116" ht="15.75" customHeight="1">
      <c r="A116" s="129"/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</row>
    <row r="117" ht="15.75" customHeight="1">
      <c r="A117" s="129"/>
      <c r="B117" s="129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</row>
    <row r="118" ht="15.75" customHeight="1">
      <c r="A118" s="129"/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</row>
    <row r="119" ht="15.75" customHeight="1">
      <c r="A119" s="129"/>
      <c r="B119" s="129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</row>
    <row r="120" ht="15.75" customHeight="1">
      <c r="A120" s="129"/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</row>
    <row r="121" ht="15.75" customHeight="1">
      <c r="A121" s="129"/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</row>
    <row r="122" ht="15.75" customHeight="1">
      <c r="A122" s="129"/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</row>
    <row r="123" ht="15.75" customHeight="1">
      <c r="A123" s="129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  <c r="Q123" s="129"/>
      <c r="R123" s="129"/>
      <c r="S123" s="129"/>
      <c r="T123" s="129"/>
      <c r="U123" s="129"/>
      <c r="V123" s="129"/>
      <c r="W123" s="129"/>
      <c r="X123" s="129"/>
    </row>
    <row r="124" ht="15.75" customHeight="1">
      <c r="A124" s="129"/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</row>
    <row r="125" ht="15.75" customHeight="1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</row>
    <row r="126" ht="15.75" customHeight="1">
      <c r="A126" s="129"/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</row>
    <row r="127" ht="15.75" customHeight="1">
      <c r="A127" s="129"/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</row>
    <row r="128" ht="15.75" customHeight="1">
      <c r="A128" s="129"/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</row>
    <row r="129" ht="15.75" customHeight="1">
      <c r="A129" s="129"/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</row>
    <row r="130" ht="15.75" customHeight="1">
      <c r="A130" s="129"/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</row>
    <row r="131" ht="15.75" customHeight="1">
      <c r="A131" s="129"/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</row>
    <row r="132" ht="15.75" customHeight="1">
      <c r="A132" s="129"/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</row>
    <row r="133" ht="15.75" customHeight="1">
      <c r="A133" s="129"/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</row>
    <row r="134" ht="15.75" customHeight="1">
      <c r="A134" s="129"/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  <c r="W134" s="129"/>
      <c r="X134" s="129"/>
    </row>
    <row r="135" ht="15.75" customHeight="1">
      <c r="A135" s="129"/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</row>
    <row r="136" ht="15.75" customHeight="1">
      <c r="A136" s="129"/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</row>
    <row r="137" ht="15.75" customHeight="1">
      <c r="A137" s="129"/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</row>
    <row r="138" ht="15.75" customHeight="1">
      <c r="A138" s="129"/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</row>
    <row r="139" ht="15.75" customHeight="1">
      <c r="A139" s="129"/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</row>
    <row r="140" ht="15.75" customHeight="1">
      <c r="A140" s="129"/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</row>
    <row r="141" ht="15.75" customHeight="1">
      <c r="A141" s="129"/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</row>
    <row r="142" ht="15.75" customHeight="1">
      <c r="A142" s="129"/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</row>
    <row r="143" ht="15.75" customHeight="1">
      <c r="A143" s="129"/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</row>
    <row r="144" ht="15.75" customHeight="1">
      <c r="A144" s="129"/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</row>
    <row r="145" ht="15.75" customHeight="1">
      <c r="A145" s="129"/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</row>
    <row r="146" ht="15.75" customHeight="1">
      <c r="A146" s="129"/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</row>
    <row r="147" ht="15.75" customHeight="1">
      <c r="A147" s="129"/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</row>
    <row r="148" ht="15.75" customHeight="1">
      <c r="A148" s="129"/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29"/>
    </row>
    <row r="149" ht="15.75" customHeight="1">
      <c r="A149" s="129"/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29"/>
    </row>
    <row r="150" ht="15.75" customHeight="1">
      <c r="A150" s="129"/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29"/>
    </row>
    <row r="151" ht="15.75" customHeight="1">
      <c r="A151" s="129"/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29"/>
    </row>
    <row r="152" ht="15.75" customHeight="1">
      <c r="A152" s="129"/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</row>
    <row r="153" ht="15.75" customHeight="1">
      <c r="A153" s="129"/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</row>
    <row r="154" ht="15.75" customHeight="1">
      <c r="A154" s="129"/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</row>
    <row r="155" ht="15.75" customHeight="1">
      <c r="A155" s="129"/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</row>
    <row r="156" ht="15.75" customHeight="1">
      <c r="A156" s="129"/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</row>
    <row r="157" ht="15.75" customHeight="1">
      <c r="A157" s="129"/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</row>
    <row r="158" ht="15.75" customHeight="1">
      <c r="A158" s="129"/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</row>
    <row r="159" ht="15.75" customHeight="1">
      <c r="A159" s="129"/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</row>
    <row r="160" ht="15.75" customHeight="1">
      <c r="A160" s="129"/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</row>
    <row r="161" ht="15.75" customHeight="1">
      <c r="A161" s="129"/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</row>
    <row r="162" ht="15.75" customHeight="1">
      <c r="A162" s="129"/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</row>
    <row r="163" ht="15.75" customHeight="1">
      <c r="A163" s="129"/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</row>
    <row r="164" ht="15.75" customHeight="1">
      <c r="A164" s="129"/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</row>
    <row r="165" ht="15.75" customHeight="1">
      <c r="A165" s="129"/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</row>
    <row r="166" ht="15.75" customHeight="1">
      <c r="A166" s="129"/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</row>
    <row r="167" ht="15.75" customHeight="1">
      <c r="A167" s="129"/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</row>
    <row r="168" ht="15.75" customHeight="1">
      <c r="A168" s="129"/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</row>
    <row r="169" ht="15.75" customHeight="1">
      <c r="A169" s="129"/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</row>
    <row r="170" ht="15.75" customHeight="1">
      <c r="A170" s="129"/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</row>
    <row r="171" ht="15.75" customHeight="1">
      <c r="A171" s="129"/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</row>
    <row r="172" ht="15.75" customHeight="1">
      <c r="A172" s="129"/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</row>
    <row r="173" ht="15.75" customHeight="1">
      <c r="A173" s="129"/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</row>
    <row r="174" ht="15.75" customHeight="1">
      <c r="A174" s="129"/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</row>
    <row r="175" ht="15.75" customHeight="1">
      <c r="A175" s="129"/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</row>
    <row r="176" ht="15.75" customHeight="1">
      <c r="A176" s="129"/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</row>
    <row r="177" ht="15.75" customHeight="1">
      <c r="A177" s="129"/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</row>
    <row r="178" ht="15.75" customHeight="1">
      <c r="A178" s="129"/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</row>
    <row r="179" ht="15.75" customHeight="1">
      <c r="A179" s="129"/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</row>
    <row r="180" ht="15.75" customHeight="1">
      <c r="A180" s="129"/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</row>
    <row r="181" ht="15.75" customHeight="1">
      <c r="A181" s="129"/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</row>
    <row r="182" ht="15.75" customHeight="1">
      <c r="A182" s="129"/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</row>
    <row r="183" ht="15.75" customHeight="1">
      <c r="A183" s="129"/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</row>
    <row r="184" ht="15.75" customHeight="1">
      <c r="A184" s="129"/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</row>
    <row r="185" ht="15.75" customHeight="1">
      <c r="A185" s="129"/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</row>
    <row r="186" ht="15.75" customHeight="1">
      <c r="A186" s="129"/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</row>
    <row r="187" ht="15.75" customHeight="1">
      <c r="A187" s="129"/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</row>
    <row r="188" ht="15.75" customHeight="1">
      <c r="A188" s="129"/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</row>
    <row r="189" ht="15.75" customHeight="1">
      <c r="A189" s="129"/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</row>
    <row r="190" ht="15.75" customHeight="1">
      <c r="A190" s="129"/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</row>
    <row r="191" ht="15.75" customHeight="1">
      <c r="A191" s="129"/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</row>
    <row r="192" ht="15.75" customHeight="1">
      <c r="A192" s="129"/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</row>
    <row r="193" ht="15.75" customHeight="1">
      <c r="A193" s="129"/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</row>
    <row r="194" ht="15.75" customHeight="1">
      <c r="A194" s="129"/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</row>
    <row r="195" ht="15.75" customHeight="1">
      <c r="A195" s="129"/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</row>
    <row r="196" ht="15.75" customHeight="1">
      <c r="A196" s="129"/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</row>
    <row r="197" ht="15.75" customHeight="1">
      <c r="A197" s="129"/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</row>
    <row r="198" ht="15.75" customHeight="1">
      <c r="A198" s="129"/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</row>
    <row r="199" ht="15.75" customHeight="1">
      <c r="A199" s="129"/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</row>
    <row r="200" ht="15.75" customHeight="1">
      <c r="A200" s="129"/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</row>
    <row r="201" ht="15.75" customHeight="1">
      <c r="A201" s="129"/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</row>
    <row r="202" ht="15.75" customHeight="1">
      <c r="A202" s="129"/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</row>
    <row r="203" ht="15.75" customHeight="1">
      <c r="A203" s="129"/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29"/>
    </row>
    <row r="204" ht="15.75" customHeight="1">
      <c r="A204" s="129"/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29"/>
    </row>
    <row r="205" ht="15.75" customHeight="1">
      <c r="A205" s="129"/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29"/>
    </row>
    <row r="206" ht="15.75" customHeight="1">
      <c r="A206" s="129"/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29"/>
    </row>
    <row r="207" ht="15.75" customHeight="1">
      <c r="A207" s="129"/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  <c r="P207" s="129"/>
      <c r="Q207" s="129"/>
      <c r="R207" s="129"/>
      <c r="S207" s="129"/>
      <c r="T207" s="129"/>
      <c r="U207" s="129"/>
      <c r="V207" s="129"/>
      <c r="W207" s="129"/>
      <c r="X207" s="129"/>
    </row>
    <row r="208" ht="15.75" customHeight="1">
      <c r="A208" s="129"/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29"/>
    </row>
    <row r="209" ht="15.75" customHeight="1">
      <c r="A209" s="129"/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29"/>
    </row>
    <row r="210" ht="15.75" customHeight="1">
      <c r="A210" s="129"/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</row>
    <row r="211" ht="15.75" customHeight="1">
      <c r="A211" s="129"/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29"/>
    </row>
    <row r="212" ht="15.75" customHeight="1">
      <c r="A212" s="129"/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  <c r="P212" s="129"/>
      <c r="Q212" s="129"/>
      <c r="R212" s="129"/>
      <c r="S212" s="129"/>
      <c r="T212" s="129"/>
      <c r="U212" s="129"/>
      <c r="V212" s="129"/>
      <c r="W212" s="129"/>
      <c r="X212" s="129"/>
    </row>
    <row r="213" ht="15.75" customHeight="1">
      <c r="A213" s="129"/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29"/>
    </row>
    <row r="214" ht="15.75" customHeight="1">
      <c r="A214" s="129"/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29"/>
    </row>
    <row r="215" ht="15.75" customHeight="1">
      <c r="A215" s="129"/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29"/>
    </row>
    <row r="216" ht="15.75" customHeight="1">
      <c r="A216" s="129"/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29"/>
    </row>
    <row r="217" ht="15.75" customHeight="1">
      <c r="A217" s="129"/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29"/>
    </row>
    <row r="218" ht="15.75" customHeight="1">
      <c r="A218" s="129"/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29"/>
    </row>
    <row r="219" ht="15.75" customHeight="1">
      <c r="A219" s="129"/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  <c r="P219" s="129"/>
      <c r="Q219" s="129"/>
      <c r="R219" s="129"/>
      <c r="S219" s="129"/>
      <c r="T219" s="129"/>
      <c r="U219" s="129"/>
      <c r="V219" s="129"/>
      <c r="W219" s="129"/>
      <c r="X219" s="129"/>
    </row>
    <row r="220" ht="15.75" customHeight="1">
      <c r="A220" s="129"/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29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38"/>
    <col customWidth="1" min="2" max="2" width="16.88"/>
    <col customWidth="1" min="3" max="7" width="14.63"/>
    <col customWidth="1" min="8" max="8" width="10.63"/>
    <col customWidth="1" min="9" max="26" width="8.88"/>
  </cols>
  <sheetData>
    <row r="1" ht="12.75" customHeight="1">
      <c r="A1" s="64" t="s">
        <v>226</v>
      </c>
      <c r="B1" s="65"/>
      <c r="C1" s="130"/>
      <c r="D1" s="130"/>
      <c r="E1" s="130"/>
      <c r="F1" s="161"/>
      <c r="G1" s="161"/>
      <c r="H1" s="161"/>
      <c r="I1" s="161"/>
    </row>
    <row r="2" ht="12.75" customHeight="1">
      <c r="A2" s="162" t="s">
        <v>227</v>
      </c>
      <c r="B2" s="163" t="s">
        <v>189</v>
      </c>
      <c r="C2" s="127"/>
      <c r="D2" s="127"/>
      <c r="E2" s="127"/>
    </row>
    <row r="3" ht="12.75" customHeight="1">
      <c r="A3" s="164"/>
      <c r="B3" s="127"/>
      <c r="C3" s="132" t="s">
        <v>228</v>
      </c>
      <c r="D3" s="132" t="s">
        <v>229</v>
      </c>
      <c r="E3" s="127"/>
    </row>
    <row r="4" ht="12.75" customHeight="1">
      <c r="A4" s="162" t="s">
        <v>230</v>
      </c>
      <c r="B4" s="163" t="s">
        <v>191</v>
      </c>
      <c r="C4" s="127"/>
      <c r="D4" s="127"/>
      <c r="E4" s="127"/>
    </row>
    <row r="5" ht="12.75" customHeight="1">
      <c r="A5" s="164"/>
      <c r="B5" s="127"/>
      <c r="C5" s="132" t="s">
        <v>231</v>
      </c>
      <c r="D5" s="132" t="s">
        <v>232</v>
      </c>
      <c r="E5" s="127"/>
    </row>
    <row r="6" ht="12.75" customHeight="1">
      <c r="A6" s="162" t="s">
        <v>233</v>
      </c>
      <c r="B6" s="163" t="s">
        <v>193</v>
      </c>
      <c r="C6" s="127"/>
      <c r="D6" s="127"/>
      <c r="E6" s="127"/>
    </row>
    <row r="7" ht="12.75" customHeight="1">
      <c r="A7" s="164"/>
      <c r="B7" s="164" t="s">
        <v>234</v>
      </c>
      <c r="C7" s="132" t="s">
        <v>235</v>
      </c>
      <c r="D7" s="132" t="s">
        <v>236</v>
      </c>
      <c r="E7" s="127"/>
    </row>
    <row r="8" ht="12.75" customHeight="1">
      <c r="A8" s="164"/>
      <c r="B8" s="127"/>
      <c r="C8" s="132"/>
      <c r="D8" s="132"/>
      <c r="E8" s="127"/>
    </row>
    <row r="9" ht="12.75" customHeight="1">
      <c r="A9" s="164"/>
      <c r="B9" s="127"/>
      <c r="C9" s="132"/>
      <c r="D9" s="132"/>
      <c r="E9" s="127"/>
    </row>
    <row r="10" ht="12.75" customHeight="1">
      <c r="A10" s="165" t="s">
        <v>237</v>
      </c>
      <c r="B10" s="51"/>
      <c r="C10" s="51"/>
      <c r="D10" s="51"/>
      <c r="E10" s="51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>
      <c r="A11" s="166" t="s">
        <v>238</v>
      </c>
      <c r="B11" s="167" t="s">
        <v>239</v>
      </c>
      <c r="C11" s="167" t="s">
        <v>240</v>
      </c>
      <c r="D11" s="167" t="s">
        <v>241</v>
      </c>
      <c r="E11" s="168" t="s">
        <v>242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ht="12.75" customHeight="1">
      <c r="A12" s="169">
        <f>'Assumptions &amp; Parameters'!C28</f>
        <v>1099</v>
      </c>
      <c r="B12" s="170">
        <f>'Assumptions &amp; Parameters'!C29</f>
        <v>0.02</v>
      </c>
      <c r="C12" s="171">
        <f>'Assumptions &amp; Parameters'!C30</f>
        <v>3648</v>
      </c>
      <c r="D12" s="170">
        <f>A12*B12*C12*(1+'Assumptions &amp; Parameters'!C17)</f>
        <v>96219.648</v>
      </c>
      <c r="E12" s="172">
        <f>D12/1000*'Assumptions &amp; Parameters'!C16</f>
        <v>125.0855424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ht="12.75" customHeight="1">
      <c r="A13" s="173"/>
      <c r="B13" s="51"/>
      <c r="C13" s="51"/>
      <c r="D13" s="51">
        <f>D12/1000</f>
        <v>96.219648</v>
      </c>
      <c r="E13" s="51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ht="12.75" customHeight="1">
      <c r="A14" s="173"/>
      <c r="B14" s="51"/>
      <c r="C14" s="51"/>
      <c r="D14" s="51"/>
      <c r="E14" s="51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ht="12.75" customHeight="1">
      <c r="A15" s="174" t="s">
        <v>243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ht="12.75" customHeight="1">
      <c r="A16" s="175" t="s">
        <v>164</v>
      </c>
      <c r="B16" s="175" t="s">
        <v>244</v>
      </c>
      <c r="C16" s="168" t="s">
        <v>245</v>
      </c>
      <c r="D16" s="168" t="s">
        <v>246</v>
      </c>
      <c r="E16" s="168" t="s">
        <v>247</v>
      </c>
      <c r="F16" s="168" t="s">
        <v>248</v>
      </c>
      <c r="G16" s="168" t="s">
        <v>249</v>
      </c>
      <c r="H16" s="168" t="s">
        <v>250</v>
      </c>
      <c r="I16" s="168" t="s">
        <v>242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ht="12.75" customHeight="1">
      <c r="A17" s="176">
        <f>'Vintage Breakdown'!B26</f>
        <v>62</v>
      </c>
      <c r="B17" s="176">
        <f>'Vintage Breakdown'!C26</f>
        <v>7918</v>
      </c>
      <c r="C17" s="177">
        <f>'Vintage Breakdown'!D31</f>
        <v>7282.695544</v>
      </c>
      <c r="D17" s="177">
        <f>'Vintage Breakdown'!D32</f>
        <v>418123.1156</v>
      </c>
      <c r="E17" s="177">
        <f>'Vintage Breakdown'!E26</f>
        <v>5142</v>
      </c>
      <c r="F17" s="176">
        <f>E17*0.789/1000</f>
        <v>4.057038</v>
      </c>
      <c r="G17" s="178" t="s">
        <v>251</v>
      </c>
      <c r="H17" s="179">
        <v>245.0</v>
      </c>
      <c r="I17" s="180">
        <f>D17*F17*H17/10^6</f>
        <v>415.6036353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ht="12.75" customHeight="1">
      <c r="A18" s="173"/>
      <c r="B18" s="51"/>
      <c r="C18" s="51"/>
      <c r="D18" s="51"/>
      <c r="E18" s="51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ht="12.75" customHeight="1">
      <c r="A19" s="173"/>
      <c r="B19" s="51"/>
      <c r="C19" s="51"/>
      <c r="D19" s="51"/>
      <c r="E19" s="51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ht="12.75" customHeight="1">
      <c r="A20" s="165" t="s">
        <v>252</v>
      </c>
      <c r="B20" s="51"/>
      <c r="C20" s="51"/>
      <c r="D20" s="51"/>
      <c r="E20" s="51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ht="12.75" customHeight="1">
      <c r="A21" s="168" t="s">
        <v>253</v>
      </c>
      <c r="B21" s="168" t="s">
        <v>254</v>
      </c>
      <c r="C21" s="168" t="s">
        <v>242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ht="12.75" customHeight="1">
      <c r="A22" s="176">
        <f>C17*E17/10^6</f>
        <v>37.44762049</v>
      </c>
      <c r="B22" s="176">
        <f>'Assumptions &amp; Parameters'!C14</f>
        <v>8.73</v>
      </c>
      <c r="C22" s="172">
        <f>A22*B22</f>
        <v>326.9177269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ht="12.7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ht="12.75" customHeight="1">
      <c r="A24" s="174" t="s">
        <v>255</v>
      </c>
      <c r="B24" s="26"/>
      <c r="C24" s="26"/>
    </row>
    <row r="25" ht="36.0" customHeight="1">
      <c r="A25" s="181" t="s">
        <v>189</v>
      </c>
      <c r="B25" s="3"/>
      <c r="C25" s="171">
        <f>E12</f>
        <v>125.0855424</v>
      </c>
    </row>
    <row r="26" ht="24.0" customHeight="1">
      <c r="A26" s="181" t="s">
        <v>191</v>
      </c>
      <c r="B26" s="3"/>
      <c r="C26" s="171">
        <f>I17</f>
        <v>415.6036353</v>
      </c>
    </row>
    <row r="27" ht="36.0" customHeight="1">
      <c r="A27" s="181" t="s">
        <v>193</v>
      </c>
      <c r="B27" s="3"/>
      <c r="C27" s="171">
        <f>C22</f>
        <v>326.9177269</v>
      </c>
    </row>
    <row r="28" ht="24.0" customHeight="1">
      <c r="A28" s="182" t="s">
        <v>256</v>
      </c>
      <c r="B28" s="3"/>
      <c r="C28" s="183">
        <f>SUM(C25:C27)</f>
        <v>867.6069046</v>
      </c>
    </row>
    <row r="29" ht="12.75" customHeight="1">
      <c r="A29" s="184"/>
      <c r="B29" s="184"/>
      <c r="C29" s="184"/>
      <c r="D29" s="184"/>
      <c r="E29" s="184"/>
      <c r="F29" s="184"/>
      <c r="G29" s="184"/>
    </row>
    <row r="30" ht="12.75" customHeight="1">
      <c r="A30" s="184"/>
      <c r="B30" s="184"/>
      <c r="C30" s="184"/>
      <c r="D30" s="184"/>
      <c r="E30" s="184"/>
      <c r="F30" s="184"/>
      <c r="G30" s="184"/>
    </row>
    <row r="31" ht="12.75" customHeight="1">
      <c r="A31" s="184"/>
      <c r="B31" s="184"/>
      <c r="C31" s="184"/>
      <c r="D31" s="184"/>
      <c r="E31" s="184"/>
      <c r="F31" s="184"/>
      <c r="G31" s="184"/>
    </row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B1"/>
    <mergeCell ref="A25:B25"/>
    <mergeCell ref="A26:B26"/>
    <mergeCell ref="A27:B27"/>
    <mergeCell ref="A28:B28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24.13"/>
    <col customWidth="1" min="3" max="3" width="53.38"/>
    <col customWidth="1" min="4" max="4" width="15.88"/>
    <col customWidth="1" min="5" max="5" width="16.63"/>
    <col customWidth="1" min="6" max="6" width="20.63"/>
    <col customWidth="1" min="7" max="26" width="9.13"/>
  </cols>
  <sheetData>
    <row r="1" ht="13.5" customHeight="1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</row>
    <row r="2">
      <c r="A2" s="185"/>
      <c r="B2" s="186" t="s">
        <v>257</v>
      </c>
      <c r="C2" s="186" t="s">
        <v>258</v>
      </c>
      <c r="D2" s="186" t="s">
        <v>259</v>
      </c>
      <c r="E2" s="186" t="s">
        <v>260</v>
      </c>
      <c r="F2" s="186" t="s">
        <v>261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</row>
    <row r="3" ht="13.5" customHeight="1">
      <c r="A3" s="185"/>
      <c r="B3" s="187" t="s">
        <v>262</v>
      </c>
      <c r="C3" s="187" t="s">
        <v>263</v>
      </c>
      <c r="D3" s="188">
        <f>ER!E7</f>
        <v>1039762</v>
      </c>
      <c r="E3" s="188">
        <v>1081893.0</v>
      </c>
      <c r="F3" s="188">
        <f>ROUNDDOWN(E3*('Db Summary'!$D$9/200000)*'Assumptions &amp; Parameters'!$C$21,0)</f>
        <v>1210071</v>
      </c>
      <c r="G3" s="189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</row>
    <row r="4" ht="13.5" customHeight="1">
      <c r="A4" s="185"/>
      <c r="B4" s="187" t="s">
        <v>264</v>
      </c>
      <c r="C4" s="187" t="s">
        <v>112</v>
      </c>
      <c r="D4" s="188">
        <f>ROUNDDOWN('Assumptions &amp; Parameters'!C34*'Assumptions &amp; Parameters'!C22,0)</f>
        <v>489248</v>
      </c>
      <c r="E4" s="188">
        <v>149250.0</v>
      </c>
      <c r="F4" s="188">
        <f>ROUNDDOWN(E4*('Db Summary'!$D$9/200000),0)</f>
        <v>400857</v>
      </c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</row>
    <row r="5" ht="13.5" customHeight="1">
      <c r="A5" s="185"/>
      <c r="B5" s="187" t="s">
        <v>265</v>
      </c>
      <c r="C5" s="187" t="s">
        <v>266</v>
      </c>
      <c r="D5" s="188">
        <f>ROUND(40*('Vintage Breakdown'!D29/SUM('Vintage Breakdown'!$C$29:$D$29)),0)</f>
        <v>37</v>
      </c>
      <c r="E5" s="188">
        <v>15.0</v>
      </c>
      <c r="F5" s="188">
        <f>ROUNDDOWN(E5*('Db Summary'!$D$9/200000),0)</f>
        <v>40</v>
      </c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</row>
    <row r="6" ht="13.5" customHeight="1">
      <c r="A6" s="185"/>
      <c r="B6" s="187" t="s">
        <v>267</v>
      </c>
      <c r="C6" s="187" t="s">
        <v>268</v>
      </c>
      <c r="D6" s="188">
        <f>ROUNDDOWN('Assumptions &amp; Parameters'!C26,0)</f>
        <v>533778</v>
      </c>
      <c r="E6" s="188">
        <v>199000.0</v>
      </c>
      <c r="F6" s="188">
        <f>ROUNDDOWN(E6*('Db Summary'!$D$9/200000),0)</f>
        <v>534477</v>
      </c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</row>
    <row r="7" ht="13.5" customHeight="1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 ht="13.5" customHeight="1">
      <c r="A8" s="185"/>
      <c r="B8" s="185"/>
      <c r="C8" s="185"/>
      <c r="D8" s="190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 ht="13.5" customHeight="1">
      <c r="A9" s="185"/>
      <c r="B9" s="185"/>
      <c r="C9" s="185"/>
      <c r="D9" s="191"/>
      <c r="E9" s="191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</row>
    <row r="10" ht="13.5" customHeight="1">
      <c r="A10" s="185"/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</row>
    <row r="11" ht="13.5" customHeight="1">
      <c r="A11" s="185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</row>
    <row r="12" ht="13.5" customHeight="1">
      <c r="A12" s="185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</row>
    <row r="13" ht="13.5" customHeight="1">
      <c r="A13" s="185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</row>
    <row r="14" ht="13.5" customHeight="1">
      <c r="A14" s="185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</row>
    <row r="15" ht="13.5" customHeight="1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</row>
    <row r="16" ht="13.5" customHeight="1">
      <c r="A16" s="185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 ht="13.5" customHeight="1">
      <c r="A17" s="185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</row>
    <row r="18" ht="13.5" customHeight="1">
      <c r="A18" s="185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ht="13.5" customHeight="1">
      <c r="A19" s="185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</row>
    <row r="20" ht="13.5" customHeight="1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</row>
    <row r="21" ht="13.5" customHeight="1">
      <c r="A21" s="185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</row>
    <row r="22" ht="13.5" customHeight="1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</row>
    <row r="23" ht="13.5" customHeight="1">
      <c r="A23" s="185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</row>
    <row r="24" ht="13.5" customHeight="1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</row>
    <row r="25" ht="13.5" customHeight="1">
      <c r="A25" s="185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</row>
    <row r="26" ht="13.5" customHeight="1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</row>
    <row r="27" ht="13.5" customHeight="1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</row>
    <row r="28" ht="13.5" customHeight="1">
      <c r="A28" s="185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</row>
    <row r="29" ht="13.5" customHeight="1">
      <c r="A29" s="185"/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</row>
    <row r="30" ht="13.5" customHeight="1">
      <c r="A30" s="185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</row>
    <row r="31" ht="13.5" customHeight="1">
      <c r="A31" s="185"/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</row>
    <row r="32" ht="13.5" customHeight="1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</row>
    <row r="33" ht="13.5" customHeight="1">
      <c r="A33" s="185"/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 ht="13.5" customHeight="1">
      <c r="A34" s="185"/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</row>
    <row r="35" ht="13.5" customHeight="1">
      <c r="A35" s="185"/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ht="13.5" customHeight="1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</row>
    <row r="37" ht="13.5" customHeight="1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</row>
    <row r="38" ht="13.5" customHeight="1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</row>
    <row r="39" ht="13.5" customHeight="1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</row>
    <row r="40" ht="13.5" customHeight="1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</row>
    <row r="41" ht="13.5" customHeight="1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</row>
    <row r="42" ht="13.5" customHeight="1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</row>
    <row r="43" ht="13.5" customHeight="1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</row>
    <row r="44" ht="13.5" customHeight="1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</row>
    <row r="45" ht="13.5" customHeight="1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</row>
    <row r="46" ht="13.5" customHeight="1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</row>
    <row r="47" ht="13.5" customHeight="1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</row>
    <row r="48" ht="13.5" customHeight="1">
      <c r="A48" s="18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</row>
    <row r="49" ht="13.5" customHeight="1">
      <c r="A49" s="185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</row>
    <row r="50" ht="13.5" customHeight="1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</row>
    <row r="51" ht="13.5" customHeight="1">
      <c r="A51" s="185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</row>
    <row r="52" ht="13.5" customHeight="1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</row>
    <row r="53" ht="13.5" customHeight="1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</row>
    <row r="54" ht="13.5" customHeight="1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</row>
    <row r="55" ht="13.5" customHeight="1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</row>
    <row r="56" ht="13.5" customHeight="1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</row>
    <row r="57" ht="13.5" customHeight="1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</row>
    <row r="58" ht="13.5" customHeight="1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</row>
    <row r="59" ht="13.5" customHeight="1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</row>
    <row r="60" ht="13.5" customHeight="1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</row>
    <row r="61" ht="13.5" customHeight="1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</row>
    <row r="62" ht="13.5" customHeight="1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</row>
    <row r="63" ht="13.5" customHeight="1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</row>
    <row r="64" ht="13.5" customHeight="1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</row>
    <row r="65" ht="13.5" customHeight="1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</row>
    <row r="66" ht="13.5" customHeight="1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3.5" customHeight="1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 ht="13.5" customHeight="1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 ht="13.5" customHeight="1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 ht="13.5" customHeight="1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 ht="13.5" customHeight="1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 ht="13.5" customHeight="1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 ht="13.5" customHeight="1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 ht="13.5" customHeight="1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 ht="13.5" customHeight="1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 ht="13.5" customHeight="1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 ht="13.5" customHeight="1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ht="13.5" customHeight="1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 ht="13.5" customHeight="1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 ht="13.5" customHeight="1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 ht="13.5" customHeight="1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ht="13.5" customHeight="1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 ht="13.5" customHeight="1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 ht="13.5" customHeight="1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ht="13.5" customHeight="1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 ht="13.5" customHeight="1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</row>
    <row r="87" ht="13.5" customHeight="1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</row>
    <row r="88" ht="13.5" customHeight="1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</row>
    <row r="89" ht="13.5" customHeight="1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</row>
    <row r="90" ht="13.5" customHeight="1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</row>
    <row r="91" ht="13.5" customHeight="1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</row>
    <row r="92" ht="13.5" customHeigh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</row>
    <row r="93" ht="13.5" customHeight="1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</row>
    <row r="94" ht="13.5" customHeight="1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 ht="13.5" customHeight="1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 ht="13.5" customHeight="1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</row>
    <row r="97" ht="13.5" customHeight="1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ht="13.5" customHeight="1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 ht="13.5" customHeight="1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 ht="13.5" customHeight="1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 ht="13.5" customHeight="1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</row>
    <row r="102" ht="13.5" customHeight="1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</row>
    <row r="103" ht="13.5" customHeight="1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</row>
    <row r="104" ht="13.5" customHeight="1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 ht="13.5" customHeight="1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 ht="13.5" customHeight="1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 ht="13.5" customHeight="1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</row>
    <row r="108" ht="13.5" customHeight="1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</row>
    <row r="109" ht="13.5" customHeight="1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</row>
    <row r="110" ht="13.5" customHeight="1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</row>
    <row r="111" ht="13.5" customHeigh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</row>
    <row r="112" ht="13.5" customHeight="1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</row>
    <row r="113" ht="13.5" customHeight="1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</row>
    <row r="114" ht="13.5" customHeight="1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</row>
    <row r="115" ht="13.5" customHeight="1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</row>
    <row r="116" ht="13.5" customHeight="1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</row>
    <row r="117" ht="13.5" customHeight="1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</row>
    <row r="118" ht="13.5" customHeight="1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</row>
    <row r="119" ht="13.5" customHeigh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</row>
    <row r="120" ht="13.5" customHeigh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</row>
    <row r="121" ht="13.5" customHeight="1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</row>
    <row r="122" ht="13.5" customHeight="1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</row>
    <row r="123" ht="13.5" customHeight="1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</row>
    <row r="124" ht="13.5" customHeight="1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</row>
    <row r="125" ht="13.5" customHeight="1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</row>
    <row r="126" ht="13.5" customHeight="1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</row>
    <row r="127" ht="13.5" customHeight="1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</row>
    <row r="128" ht="13.5" customHeight="1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</row>
    <row r="129" ht="13.5" customHeight="1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</row>
    <row r="130" ht="13.5" customHeight="1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</row>
    <row r="131" ht="13.5" customHeight="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</row>
    <row r="132" ht="13.5" customHeight="1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</row>
    <row r="133" ht="13.5" customHeight="1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</row>
    <row r="134" ht="13.5" customHeight="1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</row>
    <row r="135" ht="13.5" customHeight="1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</row>
    <row r="136" ht="13.5" customHeight="1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</row>
    <row r="137" ht="13.5" customHeight="1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</row>
    <row r="138" ht="13.5" customHeight="1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</row>
    <row r="139" ht="13.5" customHeight="1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</row>
    <row r="140" ht="13.5" customHeight="1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</row>
    <row r="141" ht="13.5" customHeight="1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</row>
    <row r="142" ht="13.5" customHeight="1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</row>
    <row r="143" ht="13.5" customHeight="1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</row>
    <row r="144" ht="13.5" customHeight="1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</row>
    <row r="145" ht="13.5" customHeight="1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</row>
    <row r="146" ht="13.5" customHeigh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</row>
    <row r="147" ht="13.5" customHeight="1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</row>
    <row r="148" ht="13.5" customHeight="1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</row>
    <row r="149" ht="13.5" customHeight="1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</row>
    <row r="150" ht="13.5" customHeight="1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</row>
    <row r="151" ht="13.5" customHeight="1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</row>
    <row r="152" ht="13.5" customHeight="1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</row>
    <row r="153" ht="13.5" customHeight="1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</row>
    <row r="154" ht="13.5" customHeight="1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</row>
    <row r="155" ht="13.5" customHeight="1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</row>
    <row r="156" ht="13.5" customHeight="1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</row>
    <row r="157" ht="13.5" customHeight="1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</row>
    <row r="158" ht="13.5" customHeight="1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</row>
    <row r="159" ht="13.5" customHeight="1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</row>
    <row r="160" ht="13.5" customHeight="1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</row>
    <row r="161" ht="13.5" customHeight="1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</row>
    <row r="162" ht="13.5" customHeight="1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</row>
    <row r="163" ht="13.5" customHeight="1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</row>
    <row r="164" ht="13.5" customHeight="1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</row>
    <row r="165" ht="13.5" customHeight="1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</row>
    <row r="166" ht="13.5" customHeight="1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</row>
    <row r="167" ht="13.5" customHeight="1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</row>
    <row r="168" ht="13.5" customHeight="1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</row>
    <row r="169" ht="13.5" customHeight="1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</row>
    <row r="170" ht="13.5" customHeight="1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</row>
    <row r="171" ht="13.5" customHeight="1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</row>
    <row r="172" ht="13.5" customHeight="1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</row>
    <row r="173" ht="13.5" customHeight="1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</row>
    <row r="174" ht="13.5" customHeight="1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</row>
    <row r="175" ht="13.5" customHeight="1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</row>
    <row r="176" ht="13.5" customHeight="1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</row>
    <row r="177" ht="13.5" customHeight="1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</row>
    <row r="178" ht="13.5" customHeight="1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</row>
    <row r="179" ht="13.5" customHeight="1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</row>
    <row r="180" ht="13.5" customHeight="1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</row>
    <row r="181" ht="13.5" customHeight="1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</row>
    <row r="182" ht="13.5" customHeight="1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</row>
    <row r="183" ht="13.5" customHeight="1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</row>
    <row r="184" ht="13.5" customHeight="1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</row>
    <row r="185" ht="13.5" customHeight="1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</row>
    <row r="186" ht="13.5" customHeight="1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</row>
    <row r="187" ht="13.5" customHeight="1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</row>
    <row r="188" ht="13.5" customHeight="1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</row>
    <row r="189" ht="13.5" customHeight="1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</row>
    <row r="190" ht="13.5" customHeight="1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</row>
    <row r="191" ht="13.5" customHeight="1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</row>
    <row r="192" ht="13.5" customHeight="1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</row>
    <row r="193" ht="13.5" customHeight="1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</row>
    <row r="194" ht="13.5" customHeight="1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</row>
    <row r="195" ht="13.5" customHeight="1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</row>
    <row r="196" ht="13.5" customHeight="1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</row>
    <row r="197" ht="13.5" customHeight="1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</row>
    <row r="198" ht="13.5" customHeight="1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</row>
    <row r="199" ht="13.5" customHeight="1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</row>
    <row r="200" ht="13.5" customHeight="1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</row>
    <row r="201" ht="13.5" customHeight="1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</row>
    <row r="202" ht="13.5" customHeight="1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</row>
    <row r="203" ht="13.5" customHeight="1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</row>
    <row r="204" ht="13.5" customHeight="1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</row>
    <row r="205" ht="13.5" customHeight="1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</row>
    <row r="206" ht="13.5" customHeight="1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</row>
    <row r="207" ht="13.5" customHeight="1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</row>
    <row r="208" ht="13.5" customHeight="1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</row>
    <row r="209" ht="13.5" customHeight="1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</row>
    <row r="210" ht="13.5" customHeight="1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</row>
    <row r="211" ht="13.5" customHeight="1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</row>
    <row r="212" ht="13.5" customHeight="1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</row>
    <row r="213" ht="13.5" customHeight="1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</row>
    <row r="214" ht="13.5" customHeight="1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</row>
    <row r="215" ht="13.5" customHeight="1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</row>
    <row r="216" ht="13.5" customHeight="1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</row>
    <row r="217" ht="13.5" customHeight="1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</row>
    <row r="218" ht="13.5" customHeight="1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</row>
    <row r="219" ht="13.5" customHeight="1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</row>
    <row r="220" ht="13.5" customHeight="1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