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ngcloudV2\personal_space\15.GS项目\Water Purifier Project in Africa\Multi-Layer Household Water Filtration System in Kenya\1st Round\Design review\"/>
    </mc:Choice>
  </mc:AlternateContent>
  <xr:revisionPtr revIDLastSave="0" documentId="13_ncr:1_{6CE615BD-EF62-477C-AB20-A2ED108CD6C0}" xr6:coauthVersionLast="47" xr6:coauthVersionMax="47" xr10:uidLastSave="{00000000-0000-0000-0000-000000000000}"/>
  <bookViews>
    <workbookView xWindow="-110" yWindow="-110" windowWidth="19420" windowHeight="10420" tabRatio="787" xr2:uid="{1DDBD549-D205-41A0-A99E-C6F70643A93E}"/>
  </bookViews>
  <sheets>
    <sheet name="Cover Page" sheetId="9" r:id="rId1"/>
    <sheet name="fNRB" sheetId="6" r:id="rId2"/>
    <sheet name="Household Size" sheetId="7" r:id="rId3"/>
    <sheet name="Baseline Survey" sheetId="1" r:id="rId4"/>
    <sheet name="Efficiency of water boiling" sheetId="8" r:id="rId5"/>
    <sheet name=" Estimate Parameters" sheetId="4" r:id="rId6"/>
    <sheet name="Emisson Factor" sheetId="2" r:id="rId7"/>
    <sheet name="Baseline and project Emissions" sheetId="3" r:id="rId8"/>
    <sheet name="SDG Outcomes" sheetId="5" r:id="rId9"/>
  </sheets>
  <definedNames>
    <definedName name="_Hlk77771351" localSheetId="0">'Cover Page'!$D$2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D8" i="1"/>
  <c r="D13" i="1"/>
  <c r="D12" i="2"/>
  <c r="D10" i="2"/>
  <c r="D17" i="8"/>
  <c r="I17" i="8"/>
  <c r="C11" i="8"/>
  <c r="E17" i="8"/>
  <c r="D2" i="3" l="1"/>
  <c r="G11" i="3"/>
  <c r="C15" i="3"/>
  <c r="B15" i="3"/>
  <c r="D18" i="8"/>
  <c r="D12" i="1"/>
  <c r="F13" i="8"/>
  <c r="E12" i="8"/>
  <c r="E11" i="8"/>
  <c r="D12" i="8"/>
  <c r="D11" i="8"/>
  <c r="N5" i="8"/>
  <c r="O5" i="8"/>
  <c r="N4" i="8"/>
  <c r="M4" i="8"/>
  <c r="W4" i="8"/>
  <c r="X5" i="8"/>
  <c r="X4" i="8"/>
  <c r="Y4" i="8"/>
  <c r="Y5" i="8"/>
  <c r="Z6" i="8"/>
  <c r="M7" i="8"/>
  <c r="N7" i="8"/>
  <c r="O7" i="8"/>
  <c r="F17" i="8"/>
  <c r="G17" i="8"/>
  <c r="Z7" i="8"/>
  <c r="Y7" i="8"/>
  <c r="X7" i="8"/>
  <c r="W7" i="8"/>
  <c r="H17" i="8"/>
  <c r="C14" i="8"/>
  <c r="I18" i="8" s="1"/>
  <c r="D14" i="8"/>
  <c r="E14" i="8"/>
  <c r="F14" i="8"/>
  <c r="H18" i="8"/>
  <c r="AA6" i="8"/>
  <c r="AA5" i="8"/>
  <c r="AA4" i="8"/>
  <c r="H2" i="3"/>
  <c r="G18" i="8"/>
  <c r="G2" i="3"/>
  <c r="F18" i="8"/>
  <c r="Q4" i="8"/>
  <c r="Q5" i="8"/>
  <c r="F2" i="3"/>
  <c r="E18" i="8"/>
  <c r="E2" i="3"/>
  <c r="B28" i="3"/>
  <c r="B22" i="3"/>
  <c r="B16" i="3"/>
  <c r="C16" i="3"/>
  <c r="D4" i="1"/>
  <c r="D6" i="1" s="1"/>
  <c r="E7" i="4" s="1"/>
  <c r="B33" i="5"/>
  <c r="B34" i="5"/>
  <c r="B39" i="3"/>
  <c r="B36" i="5"/>
  <c r="B33" i="3"/>
  <c r="B37" i="5"/>
  <c r="B27" i="3"/>
  <c r="B35" i="5"/>
  <c r="B21" i="3"/>
  <c r="B38" i="5"/>
  <c r="B39" i="5"/>
  <c r="G13" i="8"/>
  <c r="G11" i="8"/>
  <c r="G12" i="8"/>
  <c r="C17" i="3"/>
  <c r="C22" i="3"/>
  <c r="C28" i="3"/>
  <c r="C34" i="3"/>
  <c r="C10" i="3"/>
  <c r="S5" i="8"/>
  <c r="V5" i="8"/>
  <c r="S4" i="8"/>
  <c r="U6" i="8"/>
  <c r="U7" i="8"/>
  <c r="T5" i="8"/>
  <c r="T4" i="8"/>
  <c r="R4" i="8"/>
  <c r="V6" i="8"/>
  <c r="Q6" i="8"/>
  <c r="I4" i="8"/>
  <c r="I5" i="8"/>
  <c r="J5" i="8"/>
  <c r="J7" i="8"/>
  <c r="K6" i="8"/>
  <c r="K7" i="8"/>
  <c r="J4" i="8"/>
  <c r="H4" i="8"/>
  <c r="G6" i="8"/>
  <c r="E5" i="8"/>
  <c r="E4" i="8"/>
  <c r="D5" i="8"/>
  <c r="D4" i="8"/>
  <c r="F7" i="8"/>
  <c r="P7" i="8"/>
  <c r="R7" i="8"/>
  <c r="T7" i="8"/>
  <c r="C4" i="8"/>
  <c r="C7" i="8"/>
  <c r="D10" i="1"/>
  <c r="D15" i="1" s="1"/>
  <c r="D7" i="1"/>
  <c r="D11" i="1"/>
  <c r="L4" i="8"/>
  <c r="I7" i="8"/>
  <c r="H7" i="8"/>
  <c r="E7" i="8"/>
  <c r="L5" i="8"/>
  <c r="L6" i="8"/>
  <c r="G4" i="8"/>
  <c r="C23" i="3"/>
  <c r="C35" i="3"/>
  <c r="C29" i="3"/>
  <c r="C18" i="3"/>
  <c r="C11" i="3"/>
  <c r="G10" i="3"/>
  <c r="AA7" i="8"/>
  <c r="S7" i="8"/>
  <c r="V4" i="8"/>
  <c r="Q7" i="8"/>
  <c r="D7" i="8"/>
  <c r="G5" i="8"/>
  <c r="C7" i="7"/>
  <c r="D7" i="7"/>
  <c r="B7" i="7"/>
  <c r="D5" i="7"/>
  <c r="D6" i="7"/>
  <c r="D3" i="7"/>
  <c r="D2" i="7"/>
  <c r="D4" i="7"/>
  <c r="D4" i="6"/>
  <c r="D5" i="6"/>
  <c r="L7" i="8"/>
  <c r="G7" i="8"/>
  <c r="V7" i="8"/>
  <c r="C24" i="3"/>
  <c r="C36" i="3"/>
  <c r="C30" i="3"/>
  <c r="C19" i="3"/>
  <c r="C12" i="3"/>
  <c r="D44" i="3"/>
  <c r="C25" i="3"/>
  <c r="C37" i="3"/>
  <c r="C31" i="3"/>
  <c r="C20" i="3"/>
  <c r="C21" i="3"/>
  <c r="C13" i="3"/>
  <c r="G12" i="3"/>
  <c r="B25" i="5" s="1"/>
  <c r="D4" i="5"/>
  <c r="D5" i="5"/>
  <c r="D6" i="5"/>
  <c r="D7" i="5"/>
  <c r="D3" i="5"/>
  <c r="C4" i="5"/>
  <c r="C5" i="5"/>
  <c r="C6" i="5"/>
  <c r="C7" i="5"/>
  <c r="C3" i="5"/>
  <c r="C26" i="3"/>
  <c r="C27" i="3"/>
  <c r="C38" i="3"/>
  <c r="C32" i="3"/>
  <c r="C33" i="3"/>
  <c r="G13" i="3"/>
  <c r="B26" i="5" s="1"/>
  <c r="C14" i="3"/>
  <c r="D8" i="5"/>
  <c r="D9" i="5"/>
  <c r="C8" i="5"/>
  <c r="C9" i="5"/>
  <c r="C39" i="3"/>
  <c r="G14" i="3"/>
  <c r="G15" i="3" s="1"/>
  <c r="G16" i="3" s="1"/>
  <c r="B23" i="5"/>
  <c r="B24" i="5"/>
  <c r="D11" i="3" l="1"/>
  <c r="E11" i="3" s="1"/>
  <c r="D12" i="3"/>
  <c r="E12" i="3" s="1"/>
  <c r="D35" i="3"/>
  <c r="E35" i="3" s="1"/>
  <c r="D30" i="3"/>
  <c r="E30" i="3" s="1"/>
  <c r="D25" i="3"/>
  <c r="D19" i="3"/>
  <c r="D10" i="3"/>
  <c r="E10" i="3" s="1"/>
  <c r="D34" i="3"/>
  <c r="E34" i="3" s="1"/>
  <c r="D29" i="3"/>
  <c r="E29" i="3" s="1"/>
  <c r="D18" i="3"/>
  <c r="D28" i="3"/>
  <c r="E28" i="3" s="1"/>
  <c r="D24" i="3"/>
  <c r="E24" i="3" s="1"/>
  <c r="D17" i="3"/>
  <c r="D14" i="3"/>
  <c r="E14" i="3" s="1"/>
  <c r="D23" i="3"/>
  <c r="E23" i="3" s="1"/>
  <c r="D16" i="3"/>
  <c r="D32" i="3"/>
  <c r="E32" i="3" s="1"/>
  <c r="D22" i="3"/>
  <c r="E22" i="3" s="1"/>
  <c r="D13" i="3"/>
  <c r="D38" i="3"/>
  <c r="E38" i="3" s="1"/>
  <c r="D37" i="3"/>
  <c r="E37" i="3" s="1"/>
  <c r="D31" i="3"/>
  <c r="E31" i="3" s="1"/>
  <c r="D36" i="3"/>
  <c r="E36" i="3" s="1"/>
  <c r="D26" i="3"/>
  <c r="E26" i="3" s="1"/>
  <c r="D20" i="3"/>
  <c r="E20" i="3" s="1"/>
  <c r="E25" i="3"/>
  <c r="E13" i="3"/>
  <c r="D15" i="3"/>
  <c r="B27" i="5"/>
  <c r="B28" i="5" s="1"/>
  <c r="B29" i="5" s="1"/>
  <c r="D33" i="3"/>
  <c r="E17" i="3"/>
  <c r="E19" i="3"/>
  <c r="E18" i="3"/>
  <c r="G14" i="8"/>
  <c r="D42" i="3"/>
  <c r="H12" i="3" l="1"/>
  <c r="D21" i="3"/>
  <c r="E39" i="3"/>
  <c r="H13" i="3"/>
  <c r="E33" i="3"/>
  <c r="I13" i="3"/>
  <c r="B6" i="5" s="1"/>
  <c r="E6" i="5" s="1"/>
  <c r="I12" i="3"/>
  <c r="B5" i="5" s="1"/>
  <c r="E5" i="5" s="1"/>
  <c r="E16" i="3"/>
  <c r="I10" i="3" s="1"/>
  <c r="B3" i="5" s="1"/>
  <c r="E27" i="3"/>
  <c r="E15" i="3"/>
  <c r="H10" i="3"/>
  <c r="I14" i="3"/>
  <c r="B7" i="5" s="1"/>
  <c r="E7" i="5" s="1"/>
  <c r="I11" i="3"/>
  <c r="B4" i="5" s="1"/>
  <c r="E4" i="5" s="1"/>
  <c r="H14" i="3"/>
  <c r="H15" i="3" s="1"/>
  <c r="H16" i="3" s="1"/>
  <c r="D43" i="3" s="1"/>
  <c r="D45" i="3" s="1"/>
  <c r="D39" i="3"/>
  <c r="D27" i="3"/>
  <c r="H11" i="3"/>
  <c r="E21" i="3" l="1"/>
  <c r="I16" i="3"/>
  <c r="I15" i="3"/>
  <c r="B8" i="5"/>
  <c r="B9" i="5" s="1"/>
  <c r="E3" i="5"/>
  <c r="E8" i="5" s="1"/>
  <c r="E9" i="5" s="1"/>
</calcChain>
</file>

<file path=xl/sharedStrings.xml><?xml version="1.0" encoding="utf-8"?>
<sst xmlns="http://schemas.openxmlformats.org/spreadsheetml/2006/main" count="334" uniqueCount="200">
  <si>
    <t>%</t>
    <phoneticPr fontId="3" type="noConversion"/>
  </si>
  <si>
    <t>Baseline Survey</t>
    <phoneticPr fontId="3" type="noConversion"/>
  </si>
  <si>
    <t>kJ/L</t>
    <phoneticPr fontId="3" type="noConversion"/>
  </si>
  <si>
    <t>Parameter</t>
    <phoneticPr fontId="3" type="noConversion"/>
  </si>
  <si>
    <t>Description</t>
    <phoneticPr fontId="3" type="noConversion"/>
  </si>
  <si>
    <t>Unit</t>
    <phoneticPr fontId="3" type="noConversion"/>
  </si>
  <si>
    <t>Value</t>
    <phoneticPr fontId="3" type="noConversion"/>
  </si>
  <si>
    <t>Source</t>
    <phoneticPr fontId="3" type="noConversion"/>
  </si>
  <si>
    <r>
      <t>Firewood Emission CH</t>
    </r>
    <r>
      <rPr>
        <vertAlign val="subscript"/>
        <sz val="11"/>
        <color theme="1"/>
        <rFont val="微软雅黑"/>
        <family val="2"/>
        <charset val="134"/>
      </rPr>
      <t>4</t>
    </r>
    <r>
      <rPr>
        <sz val="11"/>
        <color theme="1"/>
        <rFont val="微软雅黑"/>
        <family val="2"/>
        <charset val="134"/>
      </rPr>
      <t xml:space="preserve"> Conversion Factor</t>
    </r>
    <phoneticPr fontId="3" type="noConversion"/>
  </si>
  <si>
    <t>Table 2.5 of Chaper 2 Stationary Combustion of IPCC 2006</t>
    <phoneticPr fontId="3" type="noConversion"/>
  </si>
  <si>
    <r>
      <t>Firewood Emission N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O Conversion Factor</t>
    </r>
    <phoneticPr fontId="3" type="noConversion"/>
  </si>
  <si>
    <r>
      <t>Charcoal Emission CH</t>
    </r>
    <r>
      <rPr>
        <vertAlign val="subscript"/>
        <sz val="11"/>
        <color theme="1"/>
        <rFont val="微软雅黑"/>
        <family val="2"/>
        <charset val="134"/>
      </rPr>
      <t>4</t>
    </r>
    <r>
      <rPr>
        <sz val="11"/>
        <color theme="1"/>
        <rFont val="微软雅黑"/>
        <family val="2"/>
        <charset val="134"/>
      </rPr>
      <t xml:space="preserve"> Conversion Factor</t>
    </r>
    <phoneticPr fontId="3" type="noConversion"/>
  </si>
  <si>
    <r>
      <t>Charcoal Emission N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O Conversion Factor</t>
    </r>
    <phoneticPr fontId="3" type="noConversion"/>
  </si>
  <si>
    <r>
      <t>GWP (CH</t>
    </r>
    <r>
      <rPr>
        <vertAlign val="subscript"/>
        <sz val="11"/>
        <color theme="1"/>
        <rFont val="微软雅黑"/>
        <family val="2"/>
        <charset val="134"/>
      </rPr>
      <t>4</t>
    </r>
    <r>
      <rPr>
        <sz val="11"/>
        <color theme="1"/>
        <rFont val="微软雅黑"/>
        <family val="2"/>
        <charset val="134"/>
      </rPr>
      <t xml:space="preserve"> to 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)</t>
    </r>
    <phoneticPr fontId="3" type="noConversion"/>
  </si>
  <si>
    <t>Table 8.7 of 2013 Climate Change 2013 The Physical Science Basis. Contribution of Working Group I to the Fifth Assessment Report of the Intergovernmental Panel on Climate Change (IPCC)</t>
    <phoneticPr fontId="3" type="noConversion"/>
  </si>
  <si>
    <r>
      <t>GWP (N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O to 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)</t>
    </r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</si>
  <si>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b,firewood,nonCO2</t>
    </r>
    <phoneticPr fontId="3" type="noConversion"/>
  </si>
  <si>
    <t>Calculated</t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</si>
  <si>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b,charcoal,nonCO2</t>
    </r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</si>
  <si>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b,firewood,CO2</t>
    </r>
    <phoneticPr fontId="3" type="noConversion"/>
  </si>
  <si>
    <t>IPCC 2006 default value (Table 1.4 of Chapter 1 Introduction)</t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</si>
  <si>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b,charcoal,CO2</t>
    </r>
    <phoneticPr fontId="3" type="noConversion"/>
  </si>
  <si>
    <t>Specific energy required to boil water</t>
  </si>
  <si>
    <t>Demonstrably renewable woody biomass</t>
    <phoneticPr fontId="3" type="noConversion"/>
  </si>
  <si>
    <t>PJ</t>
    <phoneticPr fontId="3" type="noConversion"/>
  </si>
  <si>
    <t>https://www.inforse.org/africa/pdfs/Pub_100-Renewable-Energy-Plan-for-Kenya-by-2050-12-08-2020.pdf</t>
    <phoneticPr fontId="3" type="noConversion"/>
  </si>
  <si>
    <t>Biomass Fuel Consumption</t>
    <phoneticPr fontId="3" type="noConversion"/>
  </si>
  <si>
    <t>NRB</t>
    <phoneticPr fontId="3" type="noConversion"/>
  </si>
  <si>
    <t>Non-renewable woody biomass</t>
    <phoneticPr fontId="3" type="noConversion"/>
  </si>
  <si>
    <t>Fractional non-renewability of woody biomass fuels</t>
    <phoneticPr fontId="3" type="noConversion"/>
  </si>
  <si>
    <t>Emission factor for the use of fuel to obtain safe water in the baseline</t>
  </si>
  <si>
    <r>
      <t>tCO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e/L</t>
    </r>
    <phoneticPr fontId="3" type="noConversion"/>
  </si>
  <si>
    <r>
      <t>tCO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e/TJ</t>
    </r>
    <phoneticPr fontId="3" type="noConversion"/>
  </si>
  <si>
    <t>households</t>
    <phoneticPr fontId="3" type="noConversion"/>
  </si>
  <si>
    <t>Calculation Method</t>
    <phoneticPr fontId="3" type="noConversion"/>
  </si>
  <si>
    <r>
      <t>U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</si>
  <si>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t>Usage survey</t>
    <phoneticPr fontId="3" type="noConversion"/>
  </si>
  <si>
    <t>For ex-ante estimation, refer to GS 1078</t>
    <phoneticPr fontId="3" type="noConversion"/>
  </si>
  <si>
    <t>days</t>
    <phoneticPr fontId="3" type="noConversion"/>
  </si>
  <si>
    <r>
      <t>q</t>
    </r>
    <r>
      <rPr>
        <vertAlign val="subscript"/>
        <sz val="11"/>
        <color theme="1"/>
        <rFont val="微软雅黑"/>
        <family val="2"/>
        <charset val="134"/>
      </rPr>
      <t>i</t>
    </r>
    <phoneticPr fontId="3" type="noConversion"/>
  </si>
  <si>
    <t>Capacity of the household water treatment technology</t>
  </si>
  <si>
    <t>L/h</t>
    <phoneticPr fontId="3" type="noConversion"/>
  </si>
  <si>
    <t>Monitored</t>
    <phoneticPr fontId="3" type="noConversion"/>
  </si>
  <si>
    <t>Manufacturer specifications</t>
  </si>
  <si>
    <t>h/day</t>
    <phoneticPr fontId="3" type="noConversion"/>
  </si>
  <si>
    <t>Project survey</t>
    <phoneticPr fontId="3" type="noConversion"/>
  </si>
  <si>
    <t>Days of a year</t>
    <phoneticPr fontId="3" type="noConversion"/>
  </si>
  <si>
    <t>Estimated</t>
    <phoneticPr fontId="3" type="noConversion"/>
  </si>
  <si>
    <t>Number of individuals per household</t>
    <phoneticPr fontId="3" type="noConversion"/>
  </si>
  <si>
    <t>individuals/household</t>
    <phoneticPr fontId="3" type="noConversion"/>
  </si>
  <si>
    <t>individuals</t>
    <phoneticPr fontId="3" type="noConversion"/>
  </si>
  <si>
    <t>Volume of drinking water per person per day</t>
  </si>
  <si>
    <t>lppd</t>
    <phoneticPr fontId="3" type="noConversion"/>
  </si>
  <si>
    <t>L</t>
    <phoneticPr fontId="3" type="noConversion"/>
  </si>
  <si>
    <t>Year</t>
    <phoneticPr fontId="3" type="noConversion"/>
  </si>
  <si>
    <t>sets</t>
    <phoneticPr fontId="3" type="noConversion"/>
  </si>
  <si>
    <r>
      <t>C</t>
    </r>
    <r>
      <rPr>
        <vertAlign val="subscript"/>
        <sz val="11"/>
        <color theme="1"/>
        <rFont val="微软雅黑"/>
        <family val="2"/>
        <charset val="134"/>
      </rPr>
      <t>b</t>
    </r>
    <phoneticPr fontId="3" type="noConversion"/>
  </si>
  <si>
    <t>Proportion of project households who in the baseline were already using a safe water supply that did not require boiling it</t>
  </si>
  <si>
    <r>
      <t>X</t>
    </r>
    <r>
      <rPr>
        <vertAlign val="subscript"/>
        <sz val="11"/>
        <color theme="1"/>
        <rFont val="微软雅黑"/>
        <family val="2"/>
        <charset val="134"/>
      </rPr>
      <t>cleanboil,y</t>
    </r>
    <phoneticPr fontId="3" type="noConversion"/>
  </si>
  <si>
    <r>
      <t>Q</t>
    </r>
    <r>
      <rPr>
        <vertAlign val="subscript"/>
        <sz val="11"/>
        <color theme="1"/>
        <rFont val="微软雅黑"/>
        <family val="2"/>
        <charset val="134"/>
      </rPr>
      <t>y</t>
    </r>
    <phoneticPr fontId="3" type="noConversion"/>
  </si>
  <si>
    <t>Quantity of safe drinking water provided by the project in year y</t>
    <phoneticPr fontId="3" type="noConversion"/>
  </si>
  <si>
    <t>Water quality test</t>
    <phoneticPr fontId="3" type="noConversion"/>
  </si>
  <si>
    <r>
      <t>M</t>
    </r>
    <r>
      <rPr>
        <vertAlign val="subscript"/>
        <sz val="11"/>
        <color theme="1"/>
        <rFont val="微软雅黑"/>
        <family val="2"/>
        <charset val="134"/>
      </rPr>
      <t>q,y</t>
    </r>
    <phoneticPr fontId="3" type="noConversion"/>
  </si>
  <si>
    <t>Baseline emissions from the use of fuel to obtain safe water in the baseline</t>
  </si>
  <si>
    <r>
      <t>tCO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e</t>
    </r>
    <phoneticPr fontId="3" type="noConversion"/>
  </si>
  <si>
    <r>
      <t>BE</t>
    </r>
    <r>
      <rPr>
        <vertAlign val="subscript"/>
        <sz val="11"/>
        <color theme="1"/>
        <rFont val="微软雅黑"/>
        <family val="2"/>
        <charset val="134"/>
      </rPr>
      <t>y</t>
    </r>
    <phoneticPr fontId="3" type="noConversion"/>
  </si>
  <si>
    <t>Total</t>
    <phoneticPr fontId="3" type="noConversion"/>
  </si>
  <si>
    <t>Average</t>
    <phoneticPr fontId="3" type="noConversion"/>
  </si>
  <si>
    <t>Sales database</t>
    <phoneticPr fontId="3" type="noConversion"/>
  </si>
  <si>
    <t>Number of households surveyed in baseline scenario</t>
    <phoneticPr fontId="3" type="noConversion"/>
  </si>
  <si>
    <r>
      <t>SE</t>
    </r>
    <r>
      <rPr>
        <vertAlign val="subscript"/>
        <sz val="11"/>
        <color theme="1"/>
        <rFont val="微软雅黑"/>
        <family val="2"/>
        <charset val="134"/>
      </rPr>
      <t>w,b,y</t>
    </r>
    <phoneticPr fontId="3" type="noConversion"/>
  </si>
  <si>
    <r>
      <t>QPW</t>
    </r>
    <r>
      <rPr>
        <vertAlign val="subscript"/>
        <sz val="11"/>
        <color theme="1"/>
        <rFont val="微软雅黑"/>
        <family val="2"/>
        <charset val="134"/>
      </rPr>
      <t>p</t>
    </r>
    <phoneticPr fontId="3" type="noConversion"/>
  </si>
  <si>
    <t xml:space="preserve"> </t>
    <phoneticPr fontId="3" type="noConversion"/>
  </si>
  <si>
    <r>
      <t>PE</t>
    </r>
    <r>
      <rPr>
        <vertAlign val="subscript"/>
        <sz val="11"/>
        <color theme="1"/>
        <rFont val="微软雅黑"/>
        <family val="2"/>
        <charset val="134"/>
      </rPr>
      <t>y</t>
    </r>
    <phoneticPr fontId="3" type="noConversion"/>
  </si>
  <si>
    <t>Project emissions in year y</t>
  </si>
  <si>
    <t>For ante-exmation, it is assumed that there is no fossil fuel, woody biomass or electricity used in the project scenario</t>
    <phoneticPr fontId="3" type="noConversion"/>
  </si>
  <si>
    <t>Leakage in project scenario p during year y</t>
    <phoneticPr fontId="3" type="noConversion"/>
  </si>
  <si>
    <t>Refero to the PDD for more details</t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</si>
  <si>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</t>
    </r>
    <phoneticPr fontId="3" type="noConversion"/>
  </si>
  <si>
    <r>
      <t>BE</t>
    </r>
    <r>
      <rPr>
        <b/>
        <vertAlign val="subscript"/>
        <sz val="11"/>
        <color theme="1"/>
        <rFont val="微软雅黑"/>
        <family val="2"/>
        <charset val="134"/>
      </rPr>
      <t>y</t>
    </r>
    <r>
      <rPr>
        <b/>
        <sz val="11"/>
        <color theme="1"/>
        <rFont val="微软雅黑"/>
        <family val="2"/>
        <charset val="134"/>
      </rPr>
      <t>（CO</t>
    </r>
    <r>
      <rPr>
        <b/>
        <vertAlign val="subscript"/>
        <sz val="11"/>
        <color theme="1"/>
        <rFont val="微软雅黑"/>
        <family val="2"/>
        <charset val="134"/>
      </rPr>
      <t>2</t>
    </r>
    <r>
      <rPr>
        <b/>
        <sz val="11"/>
        <color theme="1"/>
        <rFont val="微软雅黑"/>
        <family val="2"/>
        <charset val="134"/>
      </rPr>
      <t>e）</t>
    </r>
    <phoneticPr fontId="3" type="noConversion"/>
  </si>
  <si>
    <r>
      <t>PE</t>
    </r>
    <r>
      <rPr>
        <b/>
        <vertAlign val="subscript"/>
        <sz val="11"/>
        <color theme="1"/>
        <rFont val="微软雅黑"/>
        <family val="2"/>
        <charset val="134"/>
      </rPr>
      <t>y</t>
    </r>
    <r>
      <rPr>
        <b/>
        <sz val="11"/>
        <color theme="1"/>
        <rFont val="微软雅黑"/>
        <family val="2"/>
        <charset val="134"/>
      </rPr>
      <t xml:space="preserve"> （tCO</t>
    </r>
    <r>
      <rPr>
        <b/>
        <vertAlign val="subscript"/>
        <sz val="11"/>
        <color theme="1"/>
        <rFont val="微软雅黑"/>
        <family val="2"/>
        <charset val="134"/>
      </rPr>
      <t>2</t>
    </r>
    <r>
      <rPr>
        <b/>
        <sz val="11"/>
        <color theme="1"/>
        <rFont val="微软雅黑"/>
        <family val="2"/>
        <charset val="134"/>
      </rPr>
      <t>e）</t>
    </r>
    <phoneticPr fontId="3" type="noConversion"/>
  </si>
  <si>
    <r>
      <t>LE</t>
    </r>
    <r>
      <rPr>
        <b/>
        <vertAlign val="subscript"/>
        <sz val="11"/>
        <color theme="1"/>
        <rFont val="微软雅黑"/>
        <family val="2"/>
        <charset val="134"/>
      </rPr>
      <t>y</t>
    </r>
    <r>
      <rPr>
        <b/>
        <sz val="11"/>
        <color theme="1"/>
        <rFont val="微软雅黑"/>
        <family val="2"/>
        <charset val="134"/>
      </rPr>
      <t>（tCO</t>
    </r>
    <r>
      <rPr>
        <b/>
        <vertAlign val="subscript"/>
        <sz val="11"/>
        <color theme="1"/>
        <rFont val="微软雅黑"/>
        <family val="2"/>
        <charset val="134"/>
      </rPr>
      <t>2</t>
    </r>
    <r>
      <rPr>
        <b/>
        <sz val="11"/>
        <color theme="1"/>
        <rFont val="微软雅黑"/>
        <family val="2"/>
        <charset val="134"/>
      </rPr>
      <t>e）</t>
    </r>
    <phoneticPr fontId="3" type="noConversion"/>
  </si>
  <si>
    <r>
      <t>Emission Reductions (ER</t>
    </r>
    <r>
      <rPr>
        <b/>
        <vertAlign val="subscript"/>
        <sz val="11"/>
        <color theme="1"/>
        <rFont val="微软雅黑"/>
        <family val="2"/>
        <charset val="134"/>
      </rPr>
      <t>y</t>
    </r>
    <r>
      <rPr>
        <b/>
        <sz val="11"/>
        <color theme="1"/>
        <rFont val="微软雅黑"/>
        <family val="2"/>
        <charset val="134"/>
      </rPr>
      <t>, tCO</t>
    </r>
    <r>
      <rPr>
        <b/>
        <vertAlign val="subscript"/>
        <sz val="11"/>
        <color theme="1"/>
        <rFont val="微软雅黑"/>
        <family val="2"/>
        <charset val="134"/>
      </rPr>
      <t>2</t>
    </r>
    <r>
      <rPr>
        <b/>
        <sz val="11"/>
        <color theme="1"/>
        <rFont val="微软雅黑"/>
        <family val="2"/>
        <charset val="134"/>
      </rPr>
      <t>e）</t>
    </r>
    <phoneticPr fontId="3" type="noConversion"/>
  </si>
  <si>
    <t>SDG 13</t>
    <phoneticPr fontId="3" type="noConversion"/>
  </si>
  <si>
    <t>Default amount of energy required to boil 1 L of water from a first principles approach (kJ/L)</t>
    <phoneticPr fontId="3" type="noConversion"/>
  </si>
  <si>
    <r>
      <t>Unit conversion from GJ to GWh</t>
    </r>
    <r>
      <rPr>
        <vertAlign val="subscript"/>
        <sz val="11"/>
        <color theme="1"/>
        <rFont val="微软雅黑"/>
        <family val="2"/>
        <charset val="134"/>
      </rPr>
      <t>th</t>
    </r>
    <phoneticPr fontId="3" type="noConversion"/>
  </si>
  <si>
    <t>Annual average thermal energy savings (GJ)</t>
    <phoneticPr fontId="3" type="noConversion"/>
  </si>
  <si>
    <r>
      <t>Annual average thermal energy savings (GWh</t>
    </r>
    <r>
      <rPr>
        <vertAlign val="subscript"/>
        <sz val="11"/>
        <color theme="1"/>
        <rFont val="微软雅黑"/>
        <family val="2"/>
        <charset val="134"/>
      </rPr>
      <t>th</t>
    </r>
    <r>
      <rPr>
        <sz val="11"/>
        <color theme="1"/>
        <rFont val="微软雅黑"/>
        <family val="2"/>
        <charset val="134"/>
      </rPr>
      <t>)</t>
    </r>
    <phoneticPr fontId="3" type="noConversion"/>
  </si>
  <si>
    <t>%</t>
    <phoneticPr fontId="3" type="noConversion"/>
  </si>
  <si>
    <t>Baseline Survey</t>
    <phoneticPr fontId="3" type="noConversion"/>
  </si>
  <si>
    <t>Efficiency of the baseline water boiling . Weighted average of baseline stove types</t>
    <phoneticPr fontId="3" type="noConversion"/>
  </si>
  <si>
    <t>%</t>
    <phoneticPr fontId="3" type="noConversion"/>
  </si>
  <si>
    <t>Baseline Survey</t>
    <phoneticPr fontId="3" type="noConversion"/>
  </si>
  <si>
    <t>Percentage of households treat unsafe water by boiling</t>
    <phoneticPr fontId="3" type="noConversion"/>
  </si>
  <si>
    <t>Percentage of households treat unsafe water using gravity household water filters, ultraviolet radiation treatment, reverse osmosis, chlorine tablets and etc</t>
    <phoneticPr fontId="3" type="noConversion"/>
  </si>
  <si>
    <t>Percentage of households drink unsafe water directly</t>
    <phoneticPr fontId="3" type="noConversion"/>
  </si>
  <si>
    <t>Percentage of households treat unsafe water before drinking</t>
    <phoneticPr fontId="3" type="noConversion"/>
  </si>
  <si>
    <t>Percentage of households available of safe drinking water</t>
    <phoneticPr fontId="3" type="noConversion"/>
  </si>
  <si>
    <t xml:space="preserve">Makueni </t>
    <phoneticPr fontId="3" type="noConversion"/>
  </si>
  <si>
    <t>Trans Nzoia</t>
    <phoneticPr fontId="3" type="noConversion"/>
  </si>
  <si>
    <t>Kirinyaga</t>
    <phoneticPr fontId="3" type="noConversion"/>
  </si>
  <si>
    <t>Bungoma</t>
    <phoneticPr fontId="3" type="noConversion"/>
  </si>
  <si>
    <t>Nakuru</t>
    <phoneticPr fontId="3" type="noConversion"/>
  </si>
  <si>
    <t>Makueni</t>
    <phoneticPr fontId="3" type="noConversion"/>
  </si>
  <si>
    <t>County</t>
    <phoneticPr fontId="3" type="noConversion"/>
  </si>
  <si>
    <t>Population</t>
    <phoneticPr fontId="3" type="noConversion"/>
  </si>
  <si>
    <t>Households</t>
    <phoneticPr fontId="3" type="noConversion"/>
  </si>
  <si>
    <t>Trans Nzoia</t>
    <phoneticPr fontId="3" type="noConversion"/>
  </si>
  <si>
    <t>Kirinyaga</t>
    <phoneticPr fontId="3" type="noConversion"/>
  </si>
  <si>
    <t>Bungoma</t>
    <phoneticPr fontId="3" type="noConversion"/>
  </si>
  <si>
    <t>Average Household size</t>
    <phoneticPr fontId="3" type="noConversion"/>
  </si>
  <si>
    <t>Charcoal</t>
    <phoneticPr fontId="3" type="noConversion"/>
  </si>
  <si>
    <t>LPG</t>
    <phoneticPr fontId="3" type="noConversion"/>
  </si>
  <si>
    <t>Firewood (agriculture waste included）</t>
    <phoneticPr fontId="3" type="noConversion"/>
  </si>
  <si>
    <t>Source</t>
    <phoneticPr fontId="3" type="noConversion"/>
  </si>
  <si>
    <t>Fuel Type</t>
    <phoneticPr fontId="3" type="noConversion"/>
  </si>
  <si>
    <t>Type of Stove</t>
    <phoneticPr fontId="3" type="noConversion"/>
  </si>
  <si>
    <t>3-stone</t>
    <phoneticPr fontId="3" type="noConversion"/>
  </si>
  <si>
    <t>Conventional</t>
    <phoneticPr fontId="3" type="noConversion"/>
  </si>
  <si>
    <t>Improved</t>
    <phoneticPr fontId="3" type="noConversion"/>
  </si>
  <si>
    <t>Baseline survey</t>
    <phoneticPr fontId="3" type="noConversion"/>
  </si>
  <si>
    <t>Average</t>
    <phoneticPr fontId="3" type="noConversion"/>
  </si>
  <si>
    <t>Total</t>
    <phoneticPr fontId="3" type="noConversion"/>
  </si>
  <si>
    <r>
      <t>Non 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the firewood that is substituted or reduced</t>
    </r>
    <phoneticPr fontId="3" type="noConversion"/>
  </si>
  <si>
    <r>
      <t>Non 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the charcoal that is substituted or reduced</t>
    </r>
    <phoneticPr fontId="3" type="noConversion"/>
  </si>
  <si>
    <r>
      <t>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the fuel (firewood) that it substituted or reduced</t>
    </r>
    <phoneticPr fontId="3" type="noConversion"/>
  </si>
  <si>
    <r>
      <t>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the fuel (charcoal) that it substituted or reduced</t>
    </r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</si>
  <si>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b,LPG,CO2</t>
    </r>
    <phoneticPr fontId="3" type="noConversion"/>
  </si>
  <si>
    <r>
      <t>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the fuel (LPG) that it substituted or reduced</t>
    </r>
    <phoneticPr fontId="3" type="noConversion"/>
  </si>
  <si>
    <t>Trans Nzoia</t>
  </si>
  <si>
    <t>Kirinyaga</t>
  </si>
  <si>
    <t>Bungoma</t>
  </si>
  <si>
    <t>Nakuru</t>
  </si>
  <si>
    <t>Refer to the calculation sheet below</t>
    <phoneticPr fontId="3" type="noConversion"/>
  </si>
  <si>
    <t>Year</t>
    <phoneticPr fontId="3" type="noConversion"/>
  </si>
  <si>
    <t>County</t>
    <phoneticPr fontId="3" type="noConversion"/>
  </si>
  <si>
    <t xml:space="preserve">Makueni </t>
    <phoneticPr fontId="3" type="noConversion"/>
  </si>
  <si>
    <t>Sales Plan for the Water Purifiers (year 1-5, sets)</t>
    <phoneticPr fontId="3" type="noConversion"/>
  </si>
  <si>
    <r>
      <t>Q</t>
    </r>
    <r>
      <rPr>
        <b/>
        <vertAlign val="subscript"/>
        <sz val="11"/>
        <color theme="1"/>
        <rFont val="微软雅黑"/>
        <family val="2"/>
        <charset val="134"/>
      </rPr>
      <t>y</t>
    </r>
    <r>
      <rPr>
        <b/>
        <sz val="11"/>
        <color theme="1"/>
        <rFont val="微软雅黑"/>
        <family val="2"/>
        <charset val="134"/>
      </rPr>
      <t xml:space="preserve"> (L)</t>
    </r>
    <phoneticPr fontId="3" type="noConversion"/>
  </si>
  <si>
    <r>
      <t>BE</t>
    </r>
    <r>
      <rPr>
        <b/>
        <vertAlign val="subscript"/>
        <sz val="11"/>
        <color theme="1"/>
        <rFont val="微软雅黑"/>
        <family val="2"/>
        <charset val="134"/>
      </rPr>
      <t xml:space="preserve">y </t>
    </r>
    <r>
      <rPr>
        <b/>
        <sz val="11"/>
        <color theme="1"/>
        <rFont val="微软雅黑"/>
        <family val="2"/>
        <charset val="134"/>
      </rPr>
      <t>(tCO</t>
    </r>
    <r>
      <rPr>
        <b/>
        <vertAlign val="subscript"/>
        <sz val="11"/>
        <color theme="1"/>
        <rFont val="微软雅黑"/>
        <family val="2"/>
        <charset val="134"/>
      </rPr>
      <t>2</t>
    </r>
    <r>
      <rPr>
        <b/>
        <sz val="11"/>
        <color theme="1"/>
        <rFont val="微软雅黑"/>
        <family val="2"/>
        <charset val="134"/>
      </rPr>
      <t>e)</t>
    </r>
    <phoneticPr fontId="3" type="noConversion"/>
  </si>
  <si>
    <r>
      <t>tCO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/TJ</t>
    </r>
    <phoneticPr fontId="3" type="noConversion"/>
  </si>
  <si>
    <r>
      <t>tCH</t>
    </r>
    <r>
      <rPr>
        <vertAlign val="subscript"/>
        <sz val="11"/>
        <color theme="1"/>
        <rFont val="微软雅黑"/>
        <family val="2"/>
        <charset val="134"/>
      </rPr>
      <t>4</t>
    </r>
    <r>
      <rPr>
        <sz val="11"/>
        <color theme="1"/>
        <rFont val="微软雅黑"/>
        <family val="2"/>
        <charset val="134"/>
      </rPr>
      <t>/TJ</t>
    </r>
    <phoneticPr fontId="3" type="noConversion"/>
  </si>
  <si>
    <r>
      <t>tN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O/TJ</t>
    </r>
    <phoneticPr fontId="3" type="noConversion"/>
  </si>
  <si>
    <r>
      <t>Efficiency of the baseline water boiling . Weighted average of baseline stove types (η</t>
    </r>
    <r>
      <rPr>
        <vertAlign val="subscript"/>
        <sz val="11"/>
        <color theme="1"/>
        <rFont val="微软雅黑"/>
        <family val="2"/>
        <charset val="134"/>
      </rPr>
      <t>wb</t>
    </r>
    <r>
      <rPr>
        <sz val="11"/>
        <color theme="1"/>
        <rFont val="微软雅黑"/>
        <family val="2"/>
        <charset val="134"/>
      </rPr>
      <t>)</t>
    </r>
    <phoneticPr fontId="3" type="noConversion"/>
  </si>
  <si>
    <t>Fuel Type</t>
    <phoneticPr fontId="3" type="noConversion"/>
  </si>
  <si>
    <t>Type of Stove</t>
    <phoneticPr fontId="3" type="noConversion"/>
  </si>
  <si>
    <t>Total</t>
    <phoneticPr fontId="3" type="noConversion"/>
  </si>
  <si>
    <t>Manufacturer specifications</t>
    <phoneticPr fontId="3" type="noConversion"/>
  </si>
  <si>
    <t>Total</t>
    <phoneticPr fontId="3" type="noConversion"/>
  </si>
  <si>
    <t>Bungoma</t>
    <phoneticPr fontId="3" type="noConversion"/>
  </si>
  <si>
    <t>SDG 3</t>
    <phoneticPr fontId="3" type="noConversion"/>
  </si>
  <si>
    <t>Water purifiers sold (sets)</t>
    <phoneticPr fontId="3" type="noConversion"/>
  </si>
  <si>
    <t>SDG 6 (person.days)</t>
    <phoneticPr fontId="3" type="noConversion"/>
  </si>
  <si>
    <r>
      <t>EF</t>
    </r>
    <r>
      <rPr>
        <vertAlign val="subscript"/>
        <sz val="11"/>
        <color theme="1"/>
        <rFont val="微软雅黑"/>
        <family val="2"/>
        <charset val="134"/>
      </rPr>
      <t>b,LPG,nonCO2</t>
    </r>
    <phoneticPr fontId="3" type="noConversion"/>
  </si>
  <si>
    <r>
      <t>Non CO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 xml:space="preserve"> emissions factor of LPG that is substituted or reduced</t>
    </r>
    <phoneticPr fontId="3" type="noConversion"/>
  </si>
  <si>
    <r>
      <t>LPG Emission CH</t>
    </r>
    <r>
      <rPr>
        <vertAlign val="subscript"/>
        <sz val="11"/>
        <color theme="1"/>
        <rFont val="微软雅黑"/>
        <family val="2"/>
        <charset val="134"/>
      </rPr>
      <t>4</t>
    </r>
    <r>
      <rPr>
        <sz val="11"/>
        <color theme="1"/>
        <rFont val="微软雅黑"/>
        <family val="2"/>
        <charset val="134"/>
      </rPr>
      <t xml:space="preserve"> Conversion Factor</t>
    </r>
    <phoneticPr fontId="3" type="noConversion"/>
  </si>
  <si>
    <r>
      <t>LPG Emission N</t>
    </r>
    <r>
      <rPr>
        <vertAlign val="subscript"/>
        <sz val="11"/>
        <color theme="1"/>
        <rFont val="微软雅黑"/>
        <family val="2"/>
        <charset val="134"/>
      </rPr>
      <t>2</t>
    </r>
    <r>
      <rPr>
        <sz val="11"/>
        <color theme="1"/>
        <rFont val="微软雅黑"/>
        <family val="2"/>
        <charset val="134"/>
      </rPr>
      <t>O Conversion Factor</t>
    </r>
    <phoneticPr fontId="3" type="noConversion"/>
  </si>
  <si>
    <r>
      <t>DP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</si>
  <si>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r>
      <t>QPW</t>
    </r>
    <r>
      <rPr>
        <vertAlign val="subscript"/>
        <sz val="11"/>
        <color theme="1"/>
        <rFont val="微软雅黑"/>
        <family val="2"/>
        <charset val="134"/>
      </rPr>
      <t>hh,p,y</t>
    </r>
    <phoneticPr fontId="3" type="noConversion"/>
  </si>
  <si>
    <t xml:space="preserve">Number of individuals </t>
    <phoneticPr fontId="3" type="noConversion"/>
  </si>
  <si>
    <r>
      <t>f</t>
    </r>
    <r>
      <rPr>
        <vertAlign val="subscript"/>
        <sz val="11"/>
        <color theme="1"/>
        <rFont val="微软雅黑"/>
        <family val="2"/>
        <charset val="134"/>
      </rPr>
      <t>NRB,f,y</t>
    </r>
    <phoneticPr fontId="3" type="noConversion"/>
  </si>
  <si>
    <t>Liters of water for drinking per household per day</t>
    <phoneticPr fontId="3" type="noConversion"/>
  </si>
  <si>
    <t>L/person/day</t>
    <phoneticPr fontId="3" type="noConversion"/>
  </si>
  <si>
    <t>Calculated based on weighted average of baseline stove type
•	Three-stone default efficiency 10%.
•	Other conventional systems default efficiency 20%
•	Improved cookstoves default efficiency 30%
•	Fossil fuel combusting system: 50% (Manufacturer specifications)</t>
    <phoneticPr fontId="3" type="noConversion"/>
  </si>
  <si>
    <r>
      <t>Methodology for Emission reductions from safe drinking water supply</t>
    </r>
    <r>
      <rPr>
        <sz val="11"/>
        <color rgb="FF4D4D4C"/>
        <rFont val="Verdana"/>
        <family val="2"/>
      </rPr>
      <t xml:space="preserve"> (Version 1.0)</t>
    </r>
    <phoneticPr fontId="3" type="noConversion"/>
  </si>
  <si>
    <t>Usage rate of the project technology by premises type p during year y</t>
    <phoneticPr fontId="3" type="noConversion"/>
  </si>
  <si>
    <t>Days the project technology is present for end-users in the premises p in year y</t>
    <phoneticPr fontId="3" type="noConversion"/>
  </si>
  <si>
    <r>
      <t>HN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</si>
  <si>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r>
      <t>t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</si>
  <si>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t>Usage time of the project technology by premises type p in year y</t>
    <phoneticPr fontId="3" type="noConversion"/>
  </si>
  <si>
    <t>Default value</t>
    <phoneticPr fontId="3" type="noConversion"/>
  </si>
  <si>
    <r>
      <t>DN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</si>
  <si>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t>Average number of individual project technologies in each project premises type p in year y</t>
    <phoneticPr fontId="3" type="noConversion"/>
  </si>
  <si>
    <t>Volume of drinking water per premises p per day in year y</t>
    <phoneticPr fontId="3" type="noConversion"/>
  </si>
  <si>
    <t>Proportion of project households that boil safe water in the project year y</t>
    <phoneticPr fontId="3" type="noConversion"/>
  </si>
  <si>
    <t>Modifier for the water quality in year y</t>
    <phoneticPr fontId="3" type="noConversion"/>
  </si>
  <si>
    <r>
      <t>N</t>
    </r>
    <r>
      <rPr>
        <vertAlign val="subscript"/>
        <sz val="11"/>
        <color theme="1"/>
        <rFont val="微软雅黑"/>
        <family val="2"/>
        <charset val="134"/>
      </rPr>
      <t>p,y</t>
    </r>
    <phoneticPr fontId="3" type="noConversion"/>
  </si>
  <si>
    <r>
      <t>LE</t>
    </r>
    <r>
      <rPr>
        <vertAlign val="subscript"/>
        <sz val="11"/>
        <color theme="1"/>
        <rFont val="微软雅黑"/>
        <family val="2"/>
        <charset val="134"/>
      </rPr>
      <t>y</t>
    </r>
    <phoneticPr fontId="3" type="noConversion"/>
  </si>
  <si>
    <t>Number of premises type p with at least one project technology in year y</t>
    <phoneticPr fontId="3" type="noConversion"/>
  </si>
  <si>
    <r>
      <t xml:space="preserve">Net benefit=
</t>
    </r>
    <r>
      <rPr>
        <sz val="11"/>
        <color theme="1"/>
        <rFont val="微软雅黑"/>
        <family val="2"/>
        <charset val="134"/>
      </rPr>
      <t>N</t>
    </r>
    <r>
      <rPr>
        <vertAlign val="subscript"/>
        <sz val="11"/>
        <color theme="1"/>
        <rFont val="微软雅黑"/>
        <family val="2"/>
        <charset val="134"/>
      </rPr>
      <t>p,y</t>
    </r>
    <r>
      <rPr>
        <sz val="11"/>
        <color theme="1"/>
        <rFont val="微软雅黑"/>
        <family val="2"/>
        <charset val="134"/>
      </rPr>
      <t>*HN</t>
    </r>
    <r>
      <rPr>
        <vertAlign val="subscript"/>
        <sz val="11"/>
        <color theme="1"/>
        <rFont val="微软雅黑"/>
        <family val="2"/>
        <charset val="134"/>
      </rPr>
      <t>p,y</t>
    </r>
    <r>
      <rPr>
        <sz val="11"/>
        <color theme="1"/>
        <rFont val="微软雅黑"/>
        <family val="2"/>
        <charset val="134"/>
      </rPr>
      <t>*DP</t>
    </r>
    <r>
      <rPr>
        <vertAlign val="subscript"/>
        <sz val="11"/>
        <color theme="1"/>
        <rFont val="微软雅黑"/>
        <family val="2"/>
        <charset val="134"/>
      </rPr>
      <t>p,y</t>
    </r>
    <r>
      <rPr>
        <sz val="11"/>
        <color theme="1"/>
        <rFont val="微软雅黑"/>
        <family val="2"/>
        <charset val="134"/>
      </rPr>
      <t>*U</t>
    </r>
    <r>
      <rPr>
        <vertAlign val="subscript"/>
        <sz val="11"/>
        <color theme="1"/>
        <rFont val="微软雅黑"/>
        <family val="2"/>
        <charset val="134"/>
      </rPr>
      <t>p,y</t>
    </r>
    <r>
      <rPr>
        <sz val="11"/>
        <color theme="1"/>
        <rFont val="微软雅黑"/>
        <family val="2"/>
        <charset val="134"/>
      </rPr>
      <t>*M</t>
    </r>
    <r>
      <rPr>
        <vertAlign val="subscript"/>
        <sz val="11"/>
        <color theme="1"/>
        <rFont val="微软雅黑"/>
        <family val="2"/>
        <charset val="134"/>
      </rPr>
      <t>q,y</t>
    </r>
    <phoneticPr fontId="3" type="noConversion"/>
  </si>
  <si>
    <t>number</t>
    <phoneticPr fontId="3" type="noConversion"/>
  </si>
  <si>
    <r>
      <t>N</t>
    </r>
    <r>
      <rPr>
        <b/>
        <vertAlign val="subscript"/>
        <sz val="11"/>
        <color theme="1"/>
        <rFont val="微软雅黑"/>
        <family val="2"/>
        <charset val="134"/>
      </rPr>
      <t xml:space="preserve">p,y </t>
    </r>
    <r>
      <rPr>
        <b/>
        <sz val="11"/>
        <color theme="1"/>
        <rFont val="微软雅黑"/>
        <family val="2"/>
        <charset val="134"/>
      </rPr>
      <t>(number)</t>
    </r>
    <phoneticPr fontId="3" type="noConversion"/>
  </si>
  <si>
    <t>Number of males and females employed</t>
    <phoneticPr fontId="3" type="noConversion"/>
  </si>
  <si>
    <t>Percentage of employees with salaries paid at par with the average wage of Kenya</t>
    <phoneticPr fontId="3" type="noConversion"/>
  </si>
  <si>
    <t>12 people (6 males, 6 females)</t>
  </si>
  <si>
    <t xml:space="preserve">SDG 8 </t>
    <phoneticPr fontId="3" type="noConversion"/>
  </si>
  <si>
    <t>RB</t>
    <phoneticPr fontId="3" type="noConversion"/>
  </si>
  <si>
    <t>Title of the project activity</t>
  </si>
  <si>
    <t>GS ID of the project activity</t>
  </si>
  <si>
    <t>Version number of this calculation sheet</t>
  </si>
  <si>
    <t>Credit period</t>
  </si>
  <si>
    <t>GS11207</t>
    <phoneticPr fontId="3" type="noConversion"/>
  </si>
  <si>
    <t>Completion date of version</t>
    <phoneticPr fontId="3" type="noConversion"/>
  </si>
  <si>
    <t>Project developer</t>
    <phoneticPr fontId="3" type="noConversion"/>
  </si>
  <si>
    <t>Profit Carbon Environmental Energy Technology (Shanghai) Co., Ltd.</t>
    <phoneticPr fontId="3" type="noConversion"/>
  </si>
  <si>
    <t>Multi-Layer Household Water Filtration System in Kenya</t>
    <phoneticPr fontId="3" type="noConversion"/>
  </si>
  <si>
    <t>Percentage of households available of unsafe drinking water</t>
    <phoneticPr fontId="3" type="noConversion"/>
  </si>
  <si>
    <t>For the not available of safe water, the percentage of HH  drink boiled water</t>
    <phoneticPr fontId="3" type="noConversion"/>
  </si>
  <si>
    <t>10/10/2020 - 09/10/2025 (both days included)</t>
    <phoneticPr fontId="3" type="noConversion"/>
  </si>
  <si>
    <t>24/11/2021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</si>
</sst>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0.0%"/>
    <numFmt numFmtId="177" formatCode="0.0"/>
    <numFmt numFmtId="178" formatCode="0.000E+00"/>
    <numFmt numFmtId="179" formatCode="#,##0.000"/>
  </numFmts>
  <fonts count="9" x14ac:knownFonts="1">
    <font>
      <sz val="11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9"/>
      <name val="微软雅黑"/>
      <family val="2"/>
      <charset val="134"/>
    </font>
    <font>
      <vertAlign val="subscript"/>
      <sz val="11"/>
      <color theme="1"/>
      <name val="微软雅黑"/>
      <family val="2"/>
      <charset val="134"/>
    </font>
    <font>
      <u/>
      <sz val="11"/>
      <color theme="10"/>
      <name val="微软雅黑"/>
      <family val="2"/>
      <charset val="134"/>
    </font>
    <font>
      <b/>
      <vertAlign val="subscript"/>
      <sz val="11"/>
      <color theme="1"/>
      <name val="微软雅黑"/>
      <family val="2"/>
      <charset val="134"/>
    </font>
    <font>
      <sz val="11"/>
      <color rgb="FF4D4D4C"/>
      <name val="Verdana"/>
      <family val="2"/>
    </font>
    <font>
      <sz val="11"/>
      <color rgb="FF4D4D4C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176" fontId="0" fillId="0" borderId="1" xfId="1" applyNumberFormat="1" applyFont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left" vertical="center"/>
    </xf>
    <xf numFmtId="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77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vertical="center" wrapText="1"/>
    </xf>
    <xf numFmtId="0" fontId="0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8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76" fontId="0" fillId="0" borderId="0" xfId="1" applyNumberFormat="1" applyFont="1" applyBorder="1" applyAlignment="1">
      <alignment horizontal="left" vertical="center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1" fontId="0" fillId="0" borderId="0" xfId="0" applyNumberFormat="1">
      <alignment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9" fontId="2" fillId="0" borderId="0" xfId="1" applyFont="1" applyBorder="1">
      <alignment vertical="center"/>
    </xf>
    <xf numFmtId="9" fontId="0" fillId="0" borderId="0" xfId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0" fontId="0" fillId="0" borderId="0" xfId="0" applyNumberFormat="1" applyBorder="1">
      <alignment vertical="center"/>
    </xf>
    <xf numFmtId="10" fontId="0" fillId="0" borderId="0" xfId="1" applyNumberFormat="1" applyFont="1" applyBorder="1">
      <alignment vertical="center"/>
    </xf>
    <xf numFmtId="0" fontId="0" fillId="0" borderId="0" xfId="0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0" fontId="2" fillId="0" borderId="0" xfId="0" applyFont="1" applyBorder="1" applyAlignment="1">
      <alignment horizontal="left" vertical="center"/>
    </xf>
    <xf numFmtId="176" fontId="0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3" fontId="0" fillId="0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left" vertical="center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/>
    </xf>
    <xf numFmtId="4" fontId="7" fillId="0" borderId="0" xfId="0" applyNumberFormat="1" applyFont="1">
      <alignment vertical="center"/>
    </xf>
    <xf numFmtId="0" fontId="0" fillId="0" borderId="1" xfId="0" applyBorder="1" applyAlignment="1">
      <alignment vertical="center"/>
    </xf>
    <xf numFmtId="179" fontId="0" fillId="0" borderId="1" xfId="0" applyNumberFormat="1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0" fillId="2" borderId="1" xfId="0" applyFont="1" applyFill="1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1" xfId="2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14" fontId="0" fillId="0" borderId="0" xfId="0" applyNumberFormat="1">
      <alignment vertical="center"/>
    </xf>
    <xf numFmtId="43" fontId="0" fillId="0" borderId="0" xfId="3" applyFont="1">
      <alignment vertical="center"/>
    </xf>
    <xf numFmtId="43" fontId="0" fillId="0" borderId="0" xfId="0" applyNumberFormat="1">
      <alignment vertical="center"/>
    </xf>
  </cellXfs>
  <cellStyles count="4">
    <cellStyle name="百分比" xfId="1" builtinId="5"/>
    <cellStyle name="常规" xfId="0" builtinId="0"/>
    <cellStyle name="超链接" xfId="2" builtinId="8"/>
    <cellStyle name="千位分隔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0</xdr:col>
      <xdr:colOff>238125</xdr:colOff>
      <xdr:row>16</xdr:row>
      <xdr:rowOff>180975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5C0DBF74-7862-4F0F-BB6C-55E8834BB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0225"/>
          <a:ext cx="23812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80624</xdr:colOff>
      <xdr:row>17</xdr:row>
      <xdr:rowOff>7095</xdr:rowOff>
    </xdr:from>
    <xdr:to>
      <xdr:col>10</xdr:col>
      <xdr:colOff>495301</xdr:colOff>
      <xdr:row>17</xdr:row>
      <xdr:rowOff>368300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E4F1D30C-5D6D-4F86-AE9D-5D8F7A449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649" y="3483720"/>
          <a:ext cx="1471952" cy="3643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120651</xdr:colOff>
      <xdr:row>6</xdr:row>
      <xdr:rowOff>99710</xdr:rowOff>
    </xdr:from>
    <xdr:to>
      <xdr:col>5</xdr:col>
      <xdr:colOff>4781551</xdr:colOff>
      <xdr:row>6</xdr:row>
      <xdr:rowOff>565088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C67DA21-855D-474B-BC0A-53BF86134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6401" y="4500260"/>
          <a:ext cx="4660900" cy="4590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63500</xdr:colOff>
      <xdr:row>1</xdr:row>
      <xdr:rowOff>56578</xdr:rowOff>
    </xdr:from>
    <xdr:to>
      <xdr:col>8</xdr:col>
      <xdr:colOff>2971800</xdr:colOff>
      <xdr:row>1</xdr:row>
      <xdr:rowOff>409485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9553409B-563B-4716-91C0-EB1C9ECE5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407900" y="266128"/>
          <a:ext cx="2908300" cy="349732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2</xdr:row>
      <xdr:rowOff>34494</xdr:rowOff>
    </xdr:from>
    <xdr:to>
      <xdr:col>8</xdr:col>
      <xdr:colOff>2286000</xdr:colOff>
      <xdr:row>2</xdr:row>
      <xdr:rowOff>412665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733576D9-9631-4CC4-ACE7-52768D99E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01550" y="663144"/>
          <a:ext cx="2228850" cy="374996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3</xdr:row>
      <xdr:rowOff>101600</xdr:rowOff>
    </xdr:from>
    <xdr:to>
      <xdr:col>8</xdr:col>
      <xdr:colOff>3762067</xdr:colOff>
      <xdr:row>3</xdr:row>
      <xdr:rowOff>495240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C10E2E06-275F-460C-BB13-AAC8FC518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401550" y="1149350"/>
          <a:ext cx="3708092" cy="393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73DE-0C30-4AAF-BF35-ED85C6CA2AE2}">
  <dimension ref="C1:D7"/>
  <sheetViews>
    <sheetView tabSelected="1" workbookViewId="0">
      <selection activeCell="D10" sqref="D10"/>
    </sheetView>
  </sheetViews>
  <sheetFormatPr defaultRowHeight="16.5" x14ac:dyDescent="0.45"/>
  <cols>
    <col min="3" max="3" width="36.4609375" customWidth="1"/>
    <col min="4" max="4" width="41.23046875" customWidth="1"/>
  </cols>
  <sheetData>
    <row r="1" spans="3:4" x14ac:dyDescent="0.45">
      <c r="C1" s="68"/>
      <c r="D1" s="68"/>
    </row>
    <row r="2" spans="3:4" ht="33" x14ac:dyDescent="0.45">
      <c r="C2" s="69" t="s">
        <v>187</v>
      </c>
      <c r="D2" s="70" t="s">
        <v>195</v>
      </c>
    </row>
    <row r="3" spans="3:4" x14ac:dyDescent="0.45">
      <c r="C3" s="69" t="s">
        <v>188</v>
      </c>
      <c r="D3" s="14" t="s">
        <v>191</v>
      </c>
    </row>
    <row r="4" spans="3:4" x14ac:dyDescent="0.45">
      <c r="C4" s="69" t="s">
        <v>189</v>
      </c>
      <c r="D4" s="67">
        <v>4</v>
      </c>
    </row>
    <row r="5" spans="3:4" x14ac:dyDescent="0.45">
      <c r="C5" s="69" t="s">
        <v>192</v>
      </c>
      <c r="D5" s="14" t="s">
        <v>199</v>
      </c>
    </row>
    <row r="6" spans="3:4" x14ac:dyDescent="0.45">
      <c r="C6" s="69" t="s">
        <v>190</v>
      </c>
      <c r="D6" s="14" t="s">
        <v>198</v>
      </c>
    </row>
    <row r="7" spans="3:4" ht="33" x14ac:dyDescent="0.45">
      <c r="C7" s="69" t="s">
        <v>193</v>
      </c>
      <c r="D7" s="70" t="s">
        <v>194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A72F-0BE6-4BD3-BD22-3A428D3660A7}">
  <dimension ref="A1:E8"/>
  <sheetViews>
    <sheetView zoomScale="85" zoomScaleNormal="85" workbookViewId="0">
      <selection activeCell="C16" sqref="C16"/>
    </sheetView>
  </sheetViews>
  <sheetFormatPr defaultRowHeight="16.5" x14ac:dyDescent="0.45"/>
  <cols>
    <col min="1" max="1" width="10.53515625" customWidth="1"/>
    <col min="2" max="2" width="40.4609375" customWidth="1"/>
    <col min="3" max="3" width="20.23046875" customWidth="1"/>
    <col min="4" max="4" width="13.3046875" customWidth="1"/>
    <col min="5" max="5" width="58.4609375" customWidth="1"/>
  </cols>
  <sheetData>
    <row r="1" spans="1:5" x14ac:dyDescent="0.4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</row>
    <row r="2" spans="1:5" x14ac:dyDescent="0.45">
      <c r="A2" s="1" t="s">
        <v>186</v>
      </c>
      <c r="B2" s="1" t="s">
        <v>23</v>
      </c>
      <c r="C2" s="1" t="s">
        <v>24</v>
      </c>
      <c r="D2" s="1">
        <v>243</v>
      </c>
      <c r="E2" s="76" t="s">
        <v>25</v>
      </c>
    </row>
    <row r="3" spans="1:5" x14ac:dyDescent="0.45">
      <c r="A3" s="77" t="s">
        <v>26</v>
      </c>
      <c r="B3" s="77"/>
      <c r="C3" s="1" t="s">
        <v>24</v>
      </c>
      <c r="D3" s="1">
        <v>724</v>
      </c>
      <c r="E3" s="76"/>
    </row>
    <row r="4" spans="1:5" x14ac:dyDescent="0.45">
      <c r="A4" s="1" t="s">
        <v>27</v>
      </c>
      <c r="B4" s="1" t="s">
        <v>28</v>
      </c>
      <c r="C4" s="1" t="s">
        <v>24</v>
      </c>
      <c r="D4" s="1">
        <f>D3-D2</f>
        <v>481</v>
      </c>
      <c r="E4" s="1" t="s">
        <v>17</v>
      </c>
    </row>
    <row r="5" spans="1:5" ht="33" x14ac:dyDescent="0.45">
      <c r="A5" s="1" t="s">
        <v>160</v>
      </c>
      <c r="B5" s="8" t="s">
        <v>29</v>
      </c>
      <c r="C5" s="1" t="s">
        <v>0</v>
      </c>
      <c r="D5" s="2">
        <f>D4/D3</f>
        <v>0.66436464088397795</v>
      </c>
      <c r="E5" s="1" t="s">
        <v>17</v>
      </c>
    </row>
    <row r="8" spans="1:5" x14ac:dyDescent="0.45">
      <c r="D8" s="59"/>
    </row>
  </sheetData>
  <mergeCells count="2">
    <mergeCell ref="E2:E3"/>
    <mergeCell ref="A3:B3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52D8-BAAA-4208-A522-A827417E5BF0}">
  <dimension ref="A1:G27"/>
  <sheetViews>
    <sheetView workbookViewId="0">
      <selection activeCell="C15" sqref="C15"/>
    </sheetView>
  </sheetViews>
  <sheetFormatPr defaultRowHeight="16.5" x14ac:dyDescent="0.45"/>
  <cols>
    <col min="1" max="1" width="12.4609375" customWidth="1"/>
    <col min="2" max="2" width="11.53515625" customWidth="1"/>
    <col min="3" max="3" width="14.4609375" customWidth="1"/>
    <col min="4" max="4" width="20.84375" customWidth="1"/>
  </cols>
  <sheetData>
    <row r="1" spans="1:7" x14ac:dyDescent="0.45">
      <c r="A1" s="15" t="s">
        <v>104</v>
      </c>
      <c r="B1" s="15" t="s">
        <v>105</v>
      </c>
      <c r="C1" s="15" t="s">
        <v>106</v>
      </c>
      <c r="D1" s="15" t="s">
        <v>110</v>
      </c>
    </row>
    <row r="2" spans="1:7" x14ac:dyDescent="0.45">
      <c r="A2" s="10" t="s">
        <v>103</v>
      </c>
      <c r="B2" s="17">
        <v>987653</v>
      </c>
      <c r="C2" s="17">
        <v>244669</v>
      </c>
      <c r="D2" s="23">
        <f>ROUND(B2/C2,1)</f>
        <v>4</v>
      </c>
      <c r="F2" s="30"/>
    </row>
    <row r="3" spans="1:7" x14ac:dyDescent="0.45">
      <c r="A3" s="10" t="s">
        <v>107</v>
      </c>
      <c r="B3" s="17">
        <v>990341</v>
      </c>
      <c r="C3" s="17">
        <v>223808</v>
      </c>
      <c r="D3" s="23">
        <f>ROUND(B3/C3,1)</f>
        <v>4.4000000000000004</v>
      </c>
      <c r="F3" s="30"/>
    </row>
    <row r="4" spans="1:7" x14ac:dyDescent="0.45">
      <c r="A4" s="10" t="s">
        <v>108</v>
      </c>
      <c r="B4" s="17">
        <v>610411</v>
      </c>
      <c r="C4" s="17">
        <v>204188</v>
      </c>
      <c r="D4" s="23">
        <f>ROUND(B4/C4,1)</f>
        <v>3</v>
      </c>
      <c r="F4" s="30"/>
    </row>
    <row r="5" spans="1:7" x14ac:dyDescent="0.45">
      <c r="A5" s="10" t="s">
        <v>109</v>
      </c>
      <c r="B5" s="17">
        <v>1670570</v>
      </c>
      <c r="C5" s="17">
        <v>358796</v>
      </c>
      <c r="D5" s="23">
        <f t="shared" ref="D5:D7" si="0">ROUND(B5/C5,1)</f>
        <v>4.7</v>
      </c>
      <c r="F5" s="30"/>
    </row>
    <row r="6" spans="1:7" x14ac:dyDescent="0.45">
      <c r="A6" s="10" t="s">
        <v>102</v>
      </c>
      <c r="B6" s="17">
        <v>2162202</v>
      </c>
      <c r="C6" s="17">
        <v>616046</v>
      </c>
      <c r="D6" s="23">
        <f t="shared" si="0"/>
        <v>3.5</v>
      </c>
      <c r="F6" s="30"/>
    </row>
    <row r="7" spans="1:7" x14ac:dyDescent="0.45">
      <c r="A7" s="24" t="s">
        <v>66</v>
      </c>
      <c r="B7" s="17">
        <f>SUM(B2:B6)</f>
        <v>6421177</v>
      </c>
      <c r="C7" s="17">
        <f>SUM(C2:C6)</f>
        <v>1647507</v>
      </c>
      <c r="D7" s="23">
        <f t="shared" si="0"/>
        <v>3.9</v>
      </c>
    </row>
    <row r="9" spans="1:7" x14ac:dyDescent="0.45">
      <c r="A9" s="27"/>
      <c r="B9" s="40"/>
      <c r="C9" s="40"/>
      <c r="D9" s="40"/>
      <c r="E9" s="27"/>
      <c r="F9" s="27"/>
      <c r="G9" s="27"/>
    </row>
    <row r="10" spans="1:7" x14ac:dyDescent="0.45">
      <c r="A10" s="32"/>
      <c r="B10" s="41"/>
      <c r="C10" s="42"/>
      <c r="D10" s="42"/>
      <c r="E10" s="41"/>
      <c r="F10" s="27"/>
      <c r="G10" s="27"/>
    </row>
    <row r="11" spans="1:7" x14ac:dyDescent="0.45">
      <c r="A11" s="32"/>
      <c r="B11" s="41"/>
      <c r="C11" s="42"/>
      <c r="D11" s="42"/>
      <c r="E11" s="41"/>
      <c r="F11" s="27"/>
      <c r="G11" s="27"/>
    </row>
    <row r="12" spans="1:7" x14ac:dyDescent="0.45">
      <c r="A12" s="32"/>
      <c r="B12" s="41"/>
      <c r="C12" s="42"/>
      <c r="D12" s="42"/>
      <c r="E12" s="41"/>
      <c r="F12" s="27"/>
      <c r="G12" s="27"/>
    </row>
    <row r="13" spans="1:7" x14ac:dyDescent="0.45">
      <c r="A13" s="32"/>
      <c r="B13" s="41"/>
      <c r="C13" s="42"/>
      <c r="D13" s="42"/>
      <c r="E13" s="41"/>
      <c r="F13" s="27"/>
      <c r="G13" s="27"/>
    </row>
    <row r="14" spans="1:7" x14ac:dyDescent="0.45">
      <c r="A14" s="32"/>
      <c r="B14" s="41"/>
      <c r="C14" s="42"/>
      <c r="D14" s="42"/>
      <c r="E14" s="41"/>
      <c r="F14" s="27"/>
      <c r="G14" s="27"/>
    </row>
    <row r="15" spans="1:7" x14ac:dyDescent="0.45">
      <c r="A15" s="43"/>
      <c r="B15" s="42"/>
      <c r="C15" s="42"/>
      <c r="D15" s="42"/>
      <c r="E15" s="41"/>
      <c r="F15" s="27"/>
      <c r="G15" s="27"/>
    </row>
    <row r="16" spans="1:7" x14ac:dyDescent="0.45">
      <c r="A16" s="27"/>
      <c r="B16" s="27"/>
      <c r="C16" s="27"/>
      <c r="D16" s="27"/>
      <c r="E16" s="27"/>
      <c r="F16" s="27"/>
      <c r="G16" s="27"/>
    </row>
    <row r="17" spans="1:7" x14ac:dyDescent="0.45">
      <c r="A17" s="27"/>
      <c r="B17" s="27"/>
      <c r="C17" s="27"/>
      <c r="D17" s="27"/>
      <c r="E17" s="27"/>
      <c r="F17" s="27"/>
      <c r="G17" s="27"/>
    </row>
    <row r="18" spans="1:7" x14ac:dyDescent="0.45">
      <c r="A18" s="32"/>
      <c r="B18" s="42"/>
      <c r="C18" s="42"/>
      <c r="D18" s="42"/>
      <c r="E18" s="42"/>
      <c r="F18" s="41"/>
      <c r="G18" s="27"/>
    </row>
    <row r="19" spans="1:7" x14ac:dyDescent="0.45">
      <c r="A19" s="32"/>
      <c r="B19" s="42"/>
      <c r="C19" s="42"/>
      <c r="D19" s="42"/>
      <c r="E19" s="42"/>
      <c r="F19" s="41"/>
      <c r="G19" s="27"/>
    </row>
    <row r="20" spans="1:7" x14ac:dyDescent="0.45">
      <c r="A20" s="32"/>
      <c r="B20" s="42"/>
      <c r="C20" s="42"/>
      <c r="D20" s="42"/>
      <c r="E20" s="42"/>
      <c r="F20" s="41"/>
      <c r="G20" s="27"/>
    </row>
    <row r="21" spans="1:7" x14ac:dyDescent="0.45">
      <c r="A21" s="32"/>
      <c r="B21" s="42"/>
      <c r="C21" s="42"/>
      <c r="D21" s="42"/>
      <c r="E21" s="42"/>
      <c r="F21" s="41"/>
      <c r="G21" s="27"/>
    </row>
    <row r="22" spans="1:7" x14ac:dyDescent="0.45">
      <c r="A22" s="32"/>
      <c r="B22" s="42"/>
      <c r="C22" s="42"/>
      <c r="D22" s="42"/>
      <c r="E22" s="42"/>
      <c r="F22" s="41"/>
      <c r="G22" s="27"/>
    </row>
    <row r="23" spans="1:7" x14ac:dyDescent="0.45">
      <c r="A23" s="43"/>
      <c r="B23" s="42"/>
      <c r="C23" s="42"/>
      <c r="D23" s="42"/>
      <c r="E23" s="42"/>
      <c r="F23" s="41"/>
      <c r="G23" s="27"/>
    </row>
    <row r="24" spans="1:7" x14ac:dyDescent="0.45">
      <c r="A24" s="27"/>
      <c r="B24" s="42"/>
      <c r="C24" s="42"/>
      <c r="D24" s="42"/>
      <c r="E24" s="42"/>
      <c r="F24" s="27"/>
      <c r="G24" s="27"/>
    </row>
    <row r="25" spans="1:7" x14ac:dyDescent="0.45">
      <c r="A25" s="27"/>
      <c r="B25" s="27"/>
      <c r="C25" s="27"/>
      <c r="D25" s="27"/>
      <c r="E25" s="27"/>
      <c r="F25" s="27"/>
      <c r="G25" s="27"/>
    </row>
    <row r="26" spans="1:7" x14ac:dyDescent="0.45">
      <c r="A26" s="27"/>
      <c r="B26" s="27"/>
      <c r="C26" s="27"/>
      <c r="D26" s="27"/>
      <c r="E26" s="27"/>
      <c r="F26" s="27"/>
      <c r="G26" s="27"/>
    </row>
    <row r="27" spans="1:7" x14ac:dyDescent="0.45">
      <c r="A27" s="27"/>
      <c r="B27" s="27"/>
      <c r="C27" s="27"/>
      <c r="D27" s="27"/>
      <c r="E27" s="27"/>
      <c r="F27" s="27"/>
      <c r="G27" s="27"/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D7C8-B164-457A-A875-81425902ECA4}">
  <dimension ref="A1:E15"/>
  <sheetViews>
    <sheetView workbookViewId="0">
      <selection activeCell="A12" sqref="A12:B12"/>
    </sheetView>
  </sheetViews>
  <sheetFormatPr defaultRowHeight="16.5" x14ac:dyDescent="0.45"/>
  <cols>
    <col min="1" max="1" width="10.53515625" customWidth="1"/>
    <col min="2" max="2" width="57.69140625" customWidth="1"/>
    <col min="3" max="3" width="18.84375" customWidth="1"/>
    <col min="4" max="4" width="13.3046875" customWidth="1"/>
    <col min="5" max="5" width="58.4609375" customWidth="1"/>
    <col min="6" max="6" width="21.4609375" bestFit="1" customWidth="1"/>
  </cols>
  <sheetData>
    <row r="1" spans="1:5" x14ac:dyDescent="0.4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</row>
    <row r="2" spans="1:5" ht="19.5" customHeight="1" x14ac:dyDescent="0.45">
      <c r="A2" s="82" t="s">
        <v>69</v>
      </c>
      <c r="B2" s="83"/>
      <c r="C2" s="4" t="s">
        <v>33</v>
      </c>
      <c r="D2" s="1">
        <v>505</v>
      </c>
      <c r="E2" s="4" t="s">
        <v>1</v>
      </c>
    </row>
    <row r="3" spans="1:5" ht="19.5" customHeight="1" x14ac:dyDescent="0.45">
      <c r="A3" s="77" t="s">
        <v>159</v>
      </c>
      <c r="B3" s="77"/>
      <c r="C3" s="4" t="s">
        <v>50</v>
      </c>
      <c r="D3" s="58">
        <v>1994</v>
      </c>
      <c r="E3" s="4" t="s">
        <v>1</v>
      </c>
    </row>
    <row r="4" spans="1:5" x14ac:dyDescent="0.45">
      <c r="A4" s="3" t="s">
        <v>167</v>
      </c>
      <c r="B4" s="13" t="s">
        <v>48</v>
      </c>
      <c r="C4" s="4" t="s">
        <v>49</v>
      </c>
      <c r="D4" s="12">
        <f>D3/D2</f>
        <v>3.9485148514851485</v>
      </c>
      <c r="E4" s="4" t="s">
        <v>1</v>
      </c>
    </row>
    <row r="5" spans="1:5" x14ac:dyDescent="0.45">
      <c r="A5" s="80" t="s">
        <v>161</v>
      </c>
      <c r="B5" s="81"/>
      <c r="C5" s="4" t="s">
        <v>53</v>
      </c>
      <c r="D5" s="12">
        <v>16.8</v>
      </c>
      <c r="E5" s="4" t="s">
        <v>1</v>
      </c>
    </row>
    <row r="6" spans="1:5" x14ac:dyDescent="0.45">
      <c r="A6" s="14" t="s">
        <v>71</v>
      </c>
      <c r="B6" s="6" t="s">
        <v>51</v>
      </c>
      <c r="C6" s="4" t="s">
        <v>162</v>
      </c>
      <c r="D6" s="12">
        <f>D5/D4</f>
        <v>4.2547642928786358</v>
      </c>
      <c r="E6" s="4" t="s">
        <v>1</v>
      </c>
    </row>
    <row r="7" spans="1:5" x14ac:dyDescent="0.45">
      <c r="A7" s="78" t="s">
        <v>97</v>
      </c>
      <c r="B7" s="79"/>
      <c r="C7" s="4" t="s">
        <v>91</v>
      </c>
      <c r="D7" s="2">
        <f>37/505</f>
        <v>7.3267326732673263E-2</v>
      </c>
      <c r="E7" s="6" t="s">
        <v>92</v>
      </c>
    </row>
    <row r="8" spans="1:5" x14ac:dyDescent="0.45">
      <c r="A8" s="78" t="s">
        <v>196</v>
      </c>
      <c r="B8" s="79"/>
      <c r="C8" s="4" t="s">
        <v>0</v>
      </c>
      <c r="D8" s="2">
        <f>468/505</f>
        <v>0.92673267326732678</v>
      </c>
      <c r="E8" s="6" t="s">
        <v>1</v>
      </c>
    </row>
    <row r="9" spans="1:5" x14ac:dyDescent="0.45">
      <c r="A9" s="72" t="s">
        <v>197</v>
      </c>
      <c r="B9" s="73"/>
      <c r="C9" s="4" t="s">
        <v>0</v>
      </c>
      <c r="D9" s="2">
        <f>332/468</f>
        <v>0.70940170940170943</v>
      </c>
      <c r="E9" s="6" t="s">
        <v>1</v>
      </c>
    </row>
    <row r="10" spans="1:5" x14ac:dyDescent="0.45">
      <c r="A10" s="77" t="s">
        <v>96</v>
      </c>
      <c r="B10" s="77"/>
      <c r="C10" s="1" t="s">
        <v>0</v>
      </c>
      <c r="D10" s="2">
        <f>396/505</f>
        <v>0.78415841584158419</v>
      </c>
      <c r="E10" s="1" t="s">
        <v>1</v>
      </c>
    </row>
    <row r="11" spans="1:5" x14ac:dyDescent="0.45">
      <c r="A11" s="77" t="s">
        <v>95</v>
      </c>
      <c r="B11" s="77"/>
      <c r="C11" s="4" t="s">
        <v>88</v>
      </c>
      <c r="D11" s="2">
        <f>72/505</f>
        <v>0.14257425742574256</v>
      </c>
      <c r="E11" s="6" t="s">
        <v>89</v>
      </c>
    </row>
    <row r="12" spans="1:5" ht="49.5" customHeight="1" x14ac:dyDescent="0.45">
      <c r="A12" s="84" t="s">
        <v>94</v>
      </c>
      <c r="B12" s="84"/>
      <c r="C12" s="1" t="s">
        <v>0</v>
      </c>
      <c r="D12" s="2">
        <f>64/396</f>
        <v>0.16161616161616163</v>
      </c>
      <c r="E12" s="1" t="s">
        <v>1</v>
      </c>
    </row>
    <row r="13" spans="1:5" ht="16.5" customHeight="1" x14ac:dyDescent="0.45">
      <c r="A13" s="77" t="s">
        <v>93</v>
      </c>
      <c r="B13" s="77"/>
      <c r="C13" s="1" t="s">
        <v>0</v>
      </c>
      <c r="D13" s="2">
        <f>332/396</f>
        <v>0.83838383838383834</v>
      </c>
      <c r="E13" s="1" t="s">
        <v>1</v>
      </c>
    </row>
    <row r="14" spans="1:5" ht="16.5" customHeight="1" x14ac:dyDescent="0.45">
      <c r="A14" s="71"/>
      <c r="B14" s="71"/>
      <c r="C14" s="71"/>
      <c r="D14" s="2"/>
      <c r="E14" s="71"/>
    </row>
    <row r="15" spans="1:5" ht="33" x14ac:dyDescent="0.45">
      <c r="A15" s="3" t="s">
        <v>56</v>
      </c>
      <c r="B15" s="6" t="s">
        <v>57</v>
      </c>
      <c r="C15" s="4" t="s">
        <v>0</v>
      </c>
      <c r="D15" s="2">
        <f>D7+D10*D12</f>
        <v>0.2</v>
      </c>
      <c r="E15" s="4" t="s">
        <v>1</v>
      </c>
    </row>
  </sheetData>
  <mergeCells count="9">
    <mergeCell ref="A13:B13"/>
    <mergeCell ref="A7:B7"/>
    <mergeCell ref="A5:B5"/>
    <mergeCell ref="A3:B3"/>
    <mergeCell ref="A2:B2"/>
    <mergeCell ref="A11:B11"/>
    <mergeCell ref="A10:B10"/>
    <mergeCell ref="A12:B12"/>
    <mergeCell ref="A8:B8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B00D6-346E-41F4-A9EF-80A875E04440}">
  <dimension ref="A1:AB21"/>
  <sheetViews>
    <sheetView workbookViewId="0">
      <selection activeCell="F25" sqref="F25"/>
    </sheetView>
  </sheetViews>
  <sheetFormatPr defaultRowHeight="16.5" x14ac:dyDescent="0.45"/>
  <cols>
    <col min="1" max="1" width="9.53515625" customWidth="1"/>
    <col min="2" max="2" width="22.07421875" customWidth="1"/>
    <col min="3" max="27" width="12.3046875" customWidth="1"/>
    <col min="28" max="28" width="14" customWidth="1"/>
  </cols>
  <sheetData>
    <row r="1" spans="1:28" x14ac:dyDescent="0.45">
      <c r="A1" s="87" t="s">
        <v>115</v>
      </c>
      <c r="B1" s="87"/>
      <c r="C1" s="85" t="s">
        <v>116</v>
      </c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92" t="s">
        <v>114</v>
      </c>
    </row>
    <row r="2" spans="1:28" x14ac:dyDescent="0.45">
      <c r="A2" s="87"/>
      <c r="B2" s="87"/>
      <c r="C2" s="85" t="s">
        <v>103</v>
      </c>
      <c r="D2" s="85"/>
      <c r="E2" s="85"/>
      <c r="F2" s="85"/>
      <c r="G2" s="85"/>
      <c r="H2" s="85" t="s">
        <v>99</v>
      </c>
      <c r="I2" s="85"/>
      <c r="J2" s="85"/>
      <c r="K2" s="85"/>
      <c r="L2" s="85"/>
      <c r="M2" s="85" t="s">
        <v>100</v>
      </c>
      <c r="N2" s="85"/>
      <c r="O2" s="85"/>
      <c r="P2" s="85"/>
      <c r="Q2" s="85"/>
      <c r="R2" s="85" t="s">
        <v>101</v>
      </c>
      <c r="S2" s="85"/>
      <c r="T2" s="85"/>
      <c r="U2" s="85"/>
      <c r="V2" s="85"/>
      <c r="W2" s="85" t="s">
        <v>102</v>
      </c>
      <c r="X2" s="85"/>
      <c r="Y2" s="85"/>
      <c r="Z2" s="85"/>
      <c r="AA2" s="85"/>
      <c r="AB2" s="93"/>
    </row>
    <row r="3" spans="1:28" x14ac:dyDescent="0.45">
      <c r="A3" s="88"/>
      <c r="B3" s="88"/>
      <c r="C3" s="15" t="s">
        <v>117</v>
      </c>
      <c r="D3" s="16" t="s">
        <v>118</v>
      </c>
      <c r="E3" s="15" t="s">
        <v>119</v>
      </c>
      <c r="F3" s="15" t="s">
        <v>112</v>
      </c>
      <c r="G3" s="15" t="s">
        <v>122</v>
      </c>
      <c r="H3" s="15" t="s">
        <v>117</v>
      </c>
      <c r="I3" s="16" t="s">
        <v>118</v>
      </c>
      <c r="J3" s="15" t="s">
        <v>119</v>
      </c>
      <c r="K3" s="15" t="s">
        <v>112</v>
      </c>
      <c r="L3" s="15" t="s">
        <v>122</v>
      </c>
      <c r="M3" s="15" t="s">
        <v>117</v>
      </c>
      <c r="N3" s="16" t="s">
        <v>118</v>
      </c>
      <c r="O3" s="15" t="s">
        <v>119</v>
      </c>
      <c r="P3" s="15" t="s">
        <v>112</v>
      </c>
      <c r="Q3" s="15" t="s">
        <v>122</v>
      </c>
      <c r="R3" s="15" t="s">
        <v>117</v>
      </c>
      <c r="S3" s="16" t="s">
        <v>118</v>
      </c>
      <c r="T3" s="15" t="s">
        <v>119</v>
      </c>
      <c r="U3" s="15" t="s">
        <v>112</v>
      </c>
      <c r="V3" s="15" t="s">
        <v>122</v>
      </c>
      <c r="W3" s="15" t="s">
        <v>117</v>
      </c>
      <c r="X3" s="16" t="s">
        <v>118</v>
      </c>
      <c r="Y3" s="15" t="s">
        <v>119</v>
      </c>
      <c r="Z3" s="15" t="s">
        <v>112</v>
      </c>
      <c r="AA3" s="15" t="s">
        <v>122</v>
      </c>
      <c r="AB3" s="94"/>
    </row>
    <row r="4" spans="1:28" x14ac:dyDescent="0.45">
      <c r="A4" s="89" t="s">
        <v>113</v>
      </c>
      <c r="B4" s="89"/>
      <c r="C4" s="31">
        <f>36/48</f>
        <v>0.75</v>
      </c>
      <c r="D4" s="31">
        <f>2/48</f>
        <v>4.1666666666666664E-2</v>
      </c>
      <c r="E4" s="31">
        <f>1/48</f>
        <v>2.0833333333333332E-2</v>
      </c>
      <c r="F4" s="31">
        <v>0</v>
      </c>
      <c r="G4" s="31">
        <f>SUM(C4:F4)</f>
        <v>0.8125</v>
      </c>
      <c r="H4" s="31">
        <f>30/46</f>
        <v>0.65217391304347827</v>
      </c>
      <c r="I4" s="31">
        <f>5/46</f>
        <v>0.10869565217391304</v>
      </c>
      <c r="J4" s="31">
        <f>1/46</f>
        <v>2.1739130434782608E-2</v>
      </c>
      <c r="K4" s="31">
        <v>0</v>
      </c>
      <c r="L4" s="31">
        <f>SUM(H4:K4)</f>
        <v>0.78260869565217395</v>
      </c>
      <c r="M4" s="31">
        <f>64/72</f>
        <v>0.88888888888888884</v>
      </c>
      <c r="N4" s="31">
        <f>3/72</f>
        <v>4.1666666666666664E-2</v>
      </c>
      <c r="O4" s="31">
        <v>0</v>
      </c>
      <c r="P4" s="31">
        <v>0</v>
      </c>
      <c r="Q4" s="31">
        <f t="shared" ref="Q4:Q7" si="0">SUM(M4:P4)</f>
        <v>0.93055555555555547</v>
      </c>
      <c r="R4" s="31">
        <f>48/69</f>
        <v>0.69565217391304346</v>
      </c>
      <c r="S4" s="31">
        <f>5/69</f>
        <v>7.2463768115942032E-2</v>
      </c>
      <c r="T4" s="31">
        <f>2/69</f>
        <v>2.8985507246376812E-2</v>
      </c>
      <c r="U4" s="31">
        <v>0</v>
      </c>
      <c r="V4" s="31">
        <f t="shared" ref="V4:V7" si="1">SUM(R4:U4)</f>
        <v>0.79710144927536231</v>
      </c>
      <c r="W4" s="31">
        <f>45/97</f>
        <v>0.46391752577319589</v>
      </c>
      <c r="X4" s="31">
        <f>7/97</f>
        <v>7.2164948453608241E-2</v>
      </c>
      <c r="Y4" s="31">
        <f>3/97</f>
        <v>3.0927835051546393E-2</v>
      </c>
      <c r="Z4" s="31">
        <v>0</v>
      </c>
      <c r="AA4" s="31">
        <f t="shared" ref="AA4:AA7" si="2">SUM(W4:Z4)</f>
        <v>0.5670103092783505</v>
      </c>
      <c r="AB4" s="95" t="s">
        <v>120</v>
      </c>
    </row>
    <row r="5" spans="1:28" x14ac:dyDescent="0.45">
      <c r="A5" s="89" t="s">
        <v>111</v>
      </c>
      <c r="B5" s="89"/>
      <c r="C5" s="31">
        <v>0</v>
      </c>
      <c r="D5" s="31">
        <f>8/48</f>
        <v>0.16666666666666666</v>
      </c>
      <c r="E5" s="31">
        <f>1/48</f>
        <v>2.0833333333333332E-2</v>
      </c>
      <c r="F5" s="31">
        <v>0</v>
      </c>
      <c r="G5" s="31">
        <f t="shared" ref="G5:G7" si="3">SUM(C5:F5)</f>
        <v>0.1875</v>
      </c>
      <c r="H5" s="31">
        <v>0</v>
      </c>
      <c r="I5" s="31">
        <f>7/46</f>
        <v>0.15217391304347827</v>
      </c>
      <c r="J5" s="31">
        <f>2/46</f>
        <v>4.3478260869565216E-2</v>
      </c>
      <c r="K5" s="31">
        <v>0</v>
      </c>
      <c r="L5" s="31">
        <f>SUM(H5:K5)</f>
        <v>0.19565217391304349</v>
      </c>
      <c r="M5" s="31">
        <v>0</v>
      </c>
      <c r="N5" s="31">
        <f>4/72</f>
        <v>5.5555555555555552E-2</v>
      </c>
      <c r="O5" s="31">
        <f>1/72</f>
        <v>1.3888888888888888E-2</v>
      </c>
      <c r="P5" s="31">
        <v>0</v>
      </c>
      <c r="Q5" s="31">
        <f t="shared" si="0"/>
        <v>6.9444444444444448E-2</v>
      </c>
      <c r="R5" s="31">
        <v>0</v>
      </c>
      <c r="S5" s="31">
        <f>9/69</f>
        <v>0.13043478260869565</v>
      </c>
      <c r="T5" s="31">
        <f>3/69</f>
        <v>4.3478260869565216E-2</v>
      </c>
      <c r="U5" s="31">
        <v>0</v>
      </c>
      <c r="V5" s="31">
        <f t="shared" si="1"/>
        <v>0.17391304347826086</v>
      </c>
      <c r="W5" s="31">
        <v>0</v>
      </c>
      <c r="X5" s="31">
        <f>14/97</f>
        <v>0.14432989690721648</v>
      </c>
      <c r="Y5" s="31">
        <f>7/97</f>
        <v>7.2164948453608241E-2</v>
      </c>
      <c r="Z5" s="31">
        <v>0</v>
      </c>
      <c r="AA5" s="31">
        <f t="shared" si="2"/>
        <v>0.21649484536082472</v>
      </c>
      <c r="AB5" s="96"/>
    </row>
    <row r="6" spans="1:28" x14ac:dyDescent="0.45">
      <c r="A6" s="89" t="s">
        <v>112</v>
      </c>
      <c r="B6" s="89"/>
      <c r="C6" s="31">
        <v>0</v>
      </c>
      <c r="D6" s="31">
        <v>0</v>
      </c>
      <c r="E6" s="31">
        <v>0</v>
      </c>
      <c r="F6" s="31">
        <v>0</v>
      </c>
      <c r="G6" s="31">
        <f t="shared" si="3"/>
        <v>0</v>
      </c>
      <c r="H6" s="31">
        <v>0</v>
      </c>
      <c r="I6" s="31">
        <v>0</v>
      </c>
      <c r="J6" s="31">
        <v>0</v>
      </c>
      <c r="K6" s="31">
        <f>1/46</f>
        <v>2.1739130434782608E-2</v>
      </c>
      <c r="L6" s="31">
        <f>SUM(H6:K6)</f>
        <v>2.1739130434782608E-2</v>
      </c>
      <c r="M6" s="31">
        <v>0</v>
      </c>
      <c r="N6" s="31">
        <v>0</v>
      </c>
      <c r="O6" s="31">
        <v>0</v>
      </c>
      <c r="P6" s="31">
        <v>0</v>
      </c>
      <c r="Q6" s="31">
        <f t="shared" si="0"/>
        <v>0</v>
      </c>
      <c r="R6" s="31">
        <v>0</v>
      </c>
      <c r="S6" s="31">
        <v>0</v>
      </c>
      <c r="T6" s="31">
        <v>0</v>
      </c>
      <c r="U6" s="31">
        <f>2/69</f>
        <v>2.8985507246376812E-2</v>
      </c>
      <c r="V6" s="31">
        <f t="shared" si="1"/>
        <v>2.8985507246376812E-2</v>
      </c>
      <c r="W6" s="31">
        <v>0</v>
      </c>
      <c r="X6" s="31">
        <v>0</v>
      </c>
      <c r="Y6" s="31">
        <v>0</v>
      </c>
      <c r="Z6" s="31">
        <f>21/97</f>
        <v>0.21649484536082475</v>
      </c>
      <c r="AA6" s="31">
        <f t="shared" si="2"/>
        <v>0.21649484536082475</v>
      </c>
      <c r="AB6" s="96"/>
    </row>
    <row r="7" spans="1:28" x14ac:dyDescent="0.45">
      <c r="A7" s="90" t="s">
        <v>122</v>
      </c>
      <c r="B7" s="90"/>
      <c r="C7" s="31">
        <f>SUM(C4:C6)</f>
        <v>0.75</v>
      </c>
      <c r="D7" s="31">
        <f t="shared" ref="D7:Z7" si="4">SUM(D4:D6)</f>
        <v>0.20833333333333331</v>
      </c>
      <c r="E7" s="31">
        <f t="shared" si="4"/>
        <v>4.1666666666666664E-2</v>
      </c>
      <c r="F7" s="31">
        <f t="shared" si="4"/>
        <v>0</v>
      </c>
      <c r="G7" s="31">
        <f t="shared" si="3"/>
        <v>0.99999999999999989</v>
      </c>
      <c r="H7" s="31">
        <f t="shared" si="4"/>
        <v>0.65217391304347827</v>
      </c>
      <c r="I7" s="31">
        <f t="shared" si="4"/>
        <v>0.2608695652173913</v>
      </c>
      <c r="J7" s="31">
        <f t="shared" si="4"/>
        <v>6.5217391304347824E-2</v>
      </c>
      <c r="K7" s="31">
        <f t="shared" si="4"/>
        <v>2.1739130434782608E-2</v>
      </c>
      <c r="L7" s="31">
        <f>SUM(H7:K7)</f>
        <v>1</v>
      </c>
      <c r="M7" s="31">
        <f t="shared" si="4"/>
        <v>0.88888888888888884</v>
      </c>
      <c r="N7" s="31">
        <f t="shared" si="4"/>
        <v>9.722222222222221E-2</v>
      </c>
      <c r="O7" s="31">
        <f t="shared" si="4"/>
        <v>1.3888888888888888E-2</v>
      </c>
      <c r="P7" s="31">
        <f t="shared" si="4"/>
        <v>0</v>
      </c>
      <c r="Q7" s="31">
        <f t="shared" si="0"/>
        <v>0.99999999999999989</v>
      </c>
      <c r="R7" s="31">
        <f t="shared" si="4"/>
        <v>0.69565217391304346</v>
      </c>
      <c r="S7" s="31">
        <f t="shared" si="4"/>
        <v>0.20289855072463769</v>
      </c>
      <c r="T7" s="31">
        <f t="shared" si="4"/>
        <v>7.2463768115942032E-2</v>
      </c>
      <c r="U7" s="31">
        <f t="shared" si="4"/>
        <v>2.8985507246376812E-2</v>
      </c>
      <c r="V7" s="31">
        <f t="shared" si="1"/>
        <v>1</v>
      </c>
      <c r="W7" s="31">
        <f t="shared" si="4"/>
        <v>0.46391752577319589</v>
      </c>
      <c r="X7" s="31">
        <f t="shared" si="4"/>
        <v>0.21649484536082472</v>
      </c>
      <c r="Y7" s="31">
        <f t="shared" si="4"/>
        <v>0.10309278350515463</v>
      </c>
      <c r="Z7" s="31">
        <f t="shared" si="4"/>
        <v>0.21649484536082475</v>
      </c>
      <c r="AA7" s="31">
        <f t="shared" si="2"/>
        <v>1</v>
      </c>
      <c r="AB7" s="97"/>
    </row>
    <row r="8" spans="1:28" x14ac:dyDescent="0.45">
      <c r="A8" s="45"/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32"/>
    </row>
    <row r="9" spans="1:28" x14ac:dyDescent="0.45">
      <c r="A9" s="85" t="s">
        <v>144</v>
      </c>
      <c r="B9" s="85"/>
      <c r="C9" s="91" t="s">
        <v>145</v>
      </c>
      <c r="D9" s="91"/>
      <c r="E9" s="91"/>
      <c r="F9" s="91"/>
      <c r="G9" s="91"/>
      <c r="H9" s="46"/>
      <c r="I9" s="51"/>
      <c r="J9" s="51"/>
      <c r="K9" s="51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32"/>
    </row>
    <row r="10" spans="1:28" x14ac:dyDescent="0.45">
      <c r="A10" s="85"/>
      <c r="B10" s="85"/>
      <c r="C10" s="28" t="s">
        <v>117</v>
      </c>
      <c r="D10" s="16" t="s">
        <v>118</v>
      </c>
      <c r="E10" s="28" t="s">
        <v>119</v>
      </c>
      <c r="F10" s="28" t="s">
        <v>112</v>
      </c>
      <c r="G10" s="28" t="s">
        <v>66</v>
      </c>
      <c r="H10" s="46"/>
      <c r="I10" s="51"/>
      <c r="J10" s="51"/>
      <c r="K10" s="51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32"/>
    </row>
    <row r="11" spans="1:28" x14ac:dyDescent="0.45">
      <c r="A11" s="89" t="s">
        <v>113</v>
      </c>
      <c r="B11" s="89"/>
      <c r="C11" s="31">
        <f>(36+30+64+48+45)/(48+46+72+69+97)</f>
        <v>0.67168674698795183</v>
      </c>
      <c r="D11" s="31">
        <f>(2+5+3+5+7)/(48+46+72+69+97)</f>
        <v>6.6265060240963861E-2</v>
      </c>
      <c r="E11" s="31">
        <f>(1+1+0+2+3)/(48+46+72+69+97)</f>
        <v>2.1084337349397589E-2</v>
      </c>
      <c r="F11" s="31">
        <v>0</v>
      </c>
      <c r="G11" s="31">
        <f>SUM(C11:F11)</f>
        <v>0.75903614457831337</v>
      </c>
      <c r="H11" s="46"/>
      <c r="I11" s="51"/>
      <c r="J11" s="51"/>
      <c r="K11" s="51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32"/>
    </row>
    <row r="12" spans="1:28" x14ac:dyDescent="0.45">
      <c r="A12" s="89" t="s">
        <v>111</v>
      </c>
      <c r="B12" s="89"/>
      <c r="C12" s="31">
        <v>0</v>
      </c>
      <c r="D12" s="31">
        <f>(8+7+4+9+14)/(48+46+72+69+97)</f>
        <v>0.12650602409638553</v>
      </c>
      <c r="E12" s="31">
        <f>(1+2+1+3+7)/(48+46+72+69+97)</f>
        <v>4.2168674698795178E-2</v>
      </c>
      <c r="F12" s="31">
        <v>0</v>
      </c>
      <c r="G12" s="31">
        <f>SUM(C12:F12)</f>
        <v>0.16867469879518071</v>
      </c>
      <c r="H12" s="46"/>
      <c r="I12" s="51"/>
      <c r="J12" s="51"/>
      <c r="K12" s="51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32"/>
    </row>
    <row r="13" spans="1:28" x14ac:dyDescent="0.45">
      <c r="A13" s="89" t="s">
        <v>112</v>
      </c>
      <c r="B13" s="89"/>
      <c r="C13" s="31">
        <v>0</v>
      </c>
      <c r="D13" s="31">
        <v>0</v>
      </c>
      <c r="E13" s="31">
        <v>0</v>
      </c>
      <c r="F13" s="31">
        <f>(1+2+21)/(48+46+72+69+97)</f>
        <v>7.2289156626506021E-2</v>
      </c>
      <c r="G13" s="31">
        <f>SUM(C13:F13)</f>
        <v>7.2289156626506021E-2</v>
      </c>
      <c r="H13" s="46"/>
      <c r="I13" s="51"/>
      <c r="J13" s="51"/>
      <c r="K13" s="51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32"/>
    </row>
    <row r="14" spans="1:28" x14ac:dyDescent="0.45">
      <c r="A14" s="90" t="s">
        <v>146</v>
      </c>
      <c r="B14" s="90"/>
      <c r="C14" s="31">
        <f>SUM(C11:C13)</f>
        <v>0.67168674698795183</v>
      </c>
      <c r="D14" s="31">
        <f t="shared" ref="D14:F14" si="5">SUM(D11:D13)</f>
        <v>0.19277108433734941</v>
      </c>
      <c r="E14" s="31">
        <f t="shared" si="5"/>
        <v>6.3253012048192767E-2</v>
      </c>
      <c r="F14" s="31">
        <f t="shared" si="5"/>
        <v>7.2289156626506021E-2</v>
      </c>
      <c r="G14" s="31">
        <f>SUM(C14:F14)</f>
        <v>1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32"/>
    </row>
    <row r="15" spans="1:28" x14ac:dyDescent="0.45">
      <c r="A15" s="25"/>
      <c r="B15" s="25"/>
      <c r="C15" s="25"/>
      <c r="D15" s="25"/>
      <c r="E15" s="25"/>
      <c r="F15" s="25"/>
      <c r="G15" s="25"/>
      <c r="H15" s="25"/>
      <c r="I15" s="26"/>
      <c r="J15" s="25"/>
      <c r="K15" s="27"/>
      <c r="L15" s="27"/>
    </row>
    <row r="16" spans="1:28" x14ac:dyDescent="0.45">
      <c r="A16" s="7" t="s">
        <v>3</v>
      </c>
      <c r="B16" s="7" t="s">
        <v>4</v>
      </c>
      <c r="C16" s="15" t="s">
        <v>5</v>
      </c>
      <c r="D16" s="16" t="s">
        <v>98</v>
      </c>
      <c r="E16" s="15" t="s">
        <v>99</v>
      </c>
      <c r="F16" s="15" t="s">
        <v>100</v>
      </c>
      <c r="G16" s="15" t="s">
        <v>101</v>
      </c>
      <c r="H16" s="15" t="s">
        <v>102</v>
      </c>
      <c r="I16" s="47" t="s">
        <v>148</v>
      </c>
      <c r="J16" s="85" t="s">
        <v>7</v>
      </c>
      <c r="K16" s="85"/>
      <c r="L16" s="85"/>
      <c r="M16" s="85"/>
      <c r="N16" s="85"/>
      <c r="O16" s="85"/>
    </row>
    <row r="17" spans="1:15" ht="92.25" customHeight="1" x14ac:dyDescent="0.45">
      <c r="A17" s="3"/>
      <c r="B17" s="6" t="s">
        <v>90</v>
      </c>
      <c r="C17" s="4" t="s">
        <v>0</v>
      </c>
      <c r="D17" s="31">
        <f>C7*10%+D7*20%+E7*30%+F7*50%</f>
        <v>0.12916666666666668</v>
      </c>
      <c r="E17" s="31">
        <f>H7*10%+I7*20%+J7*30%+K7*50%</f>
        <v>0.14782608695652172</v>
      </c>
      <c r="F17" s="31">
        <f>M7*10%+N7*20%+O7*30%+P7*50%</f>
        <v>0.1125</v>
      </c>
      <c r="G17" s="31">
        <f>R7*10%+S7*20%+T7*30%+U7*50%</f>
        <v>0.1463768115942029</v>
      </c>
      <c r="H17" s="31">
        <f>W7*10%+X7*20%+Y7*30%+Z7*50%</f>
        <v>0.22886597938144332</v>
      </c>
      <c r="I17" s="31">
        <f>C14*10%+D14*20%+E14*30%+F14*50%</f>
        <v>0.16084337349397593</v>
      </c>
      <c r="J17" s="84" t="s">
        <v>163</v>
      </c>
      <c r="K17" s="84"/>
      <c r="L17" s="84"/>
      <c r="M17" s="84"/>
      <c r="N17" s="84"/>
      <c r="O17" s="84"/>
    </row>
    <row r="18" spans="1:15" ht="32.25" customHeight="1" x14ac:dyDescent="0.45">
      <c r="A18" s="11" t="s">
        <v>70</v>
      </c>
      <c r="B18" s="29" t="s">
        <v>22</v>
      </c>
      <c r="C18" s="3" t="s">
        <v>2</v>
      </c>
      <c r="D18" s="57">
        <f>360.83/D17</f>
        <v>2793.5225806451608</v>
      </c>
      <c r="E18" s="57">
        <f t="shared" ref="E18:G18" si="6">360.83/E17</f>
        <v>2440.9088235294121</v>
      </c>
      <c r="F18" s="57">
        <f t="shared" si="6"/>
        <v>3207.3777777777777</v>
      </c>
      <c r="G18" s="57">
        <f t="shared" si="6"/>
        <v>2465.0762376237622</v>
      </c>
      <c r="H18" s="57">
        <f>360.83/H17</f>
        <v>1576.5995495495492</v>
      </c>
      <c r="I18" s="57">
        <f>360.83/I17</f>
        <v>2243.3625468164792</v>
      </c>
      <c r="J18" s="86" t="s">
        <v>72</v>
      </c>
      <c r="K18" s="86"/>
      <c r="L18" s="86"/>
      <c r="M18" s="86"/>
      <c r="N18" s="86"/>
      <c r="O18" s="86"/>
    </row>
    <row r="21" spans="1:15" x14ac:dyDescent="0.45">
      <c r="D21" s="50"/>
    </row>
  </sheetData>
  <mergeCells count="22">
    <mergeCell ref="AB1:AB3"/>
    <mergeCell ref="AB4:AB7"/>
    <mergeCell ref="C2:G2"/>
    <mergeCell ref="H2:L2"/>
    <mergeCell ref="M2:Q2"/>
    <mergeCell ref="R2:V2"/>
    <mergeCell ref="C1:AA1"/>
    <mergeCell ref="W2:AA2"/>
    <mergeCell ref="J16:O16"/>
    <mergeCell ref="J17:O17"/>
    <mergeCell ref="J18:O18"/>
    <mergeCell ref="A1:B3"/>
    <mergeCell ref="A4:B4"/>
    <mergeCell ref="A5:B5"/>
    <mergeCell ref="A6:B6"/>
    <mergeCell ref="A7:B7"/>
    <mergeCell ref="A11:B11"/>
    <mergeCell ref="A12:B12"/>
    <mergeCell ref="A13:B13"/>
    <mergeCell ref="A9:B10"/>
    <mergeCell ref="C9:G9"/>
    <mergeCell ref="A14:B14"/>
  </mergeCells>
  <phoneticPr fontId="3" type="noConversion"/>
  <pageMargins left="0.7" right="0.7" top="0.75" bottom="0.75" header="0.3" footer="0.3"/>
  <pageSetup paperSize="9" orientation="portrait" r:id="rId1"/>
  <ignoredErrors>
    <ignoredError sqref="G7 L7 Q7 V7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778B4-50E0-4951-BAE0-75742CACE090}">
  <dimension ref="A1:F9"/>
  <sheetViews>
    <sheetView topLeftCell="A13" zoomScale="90" zoomScaleNormal="90" workbookViewId="0">
      <selection activeCell="E8" sqref="E8"/>
    </sheetView>
  </sheetViews>
  <sheetFormatPr defaultRowHeight="16.5" x14ac:dyDescent="0.45"/>
  <cols>
    <col min="1" max="1" width="10.3046875" customWidth="1"/>
    <col min="2" max="2" width="19.3046875" customWidth="1"/>
    <col min="3" max="3" width="18.4609375" customWidth="1"/>
    <col min="4" max="4" width="21.84375" customWidth="1"/>
    <col min="5" max="5" width="10.4609375" customWidth="1"/>
    <col min="6" max="6" width="62.3046875" customWidth="1"/>
  </cols>
  <sheetData>
    <row r="1" spans="1:6" x14ac:dyDescent="0.45">
      <c r="A1" s="7" t="s">
        <v>3</v>
      </c>
      <c r="B1" s="7" t="s">
        <v>4</v>
      </c>
      <c r="C1" s="7" t="s">
        <v>5</v>
      </c>
      <c r="D1" s="7" t="s">
        <v>34</v>
      </c>
      <c r="E1" s="7" t="s">
        <v>6</v>
      </c>
      <c r="F1" s="7" t="s">
        <v>7</v>
      </c>
    </row>
    <row r="2" spans="1:6" ht="66" x14ac:dyDescent="0.45">
      <c r="A2" s="3" t="s">
        <v>35</v>
      </c>
      <c r="B2" s="6" t="s">
        <v>165</v>
      </c>
      <c r="C2" s="3" t="s">
        <v>0</v>
      </c>
      <c r="D2" s="6" t="s">
        <v>36</v>
      </c>
      <c r="E2" s="5">
        <v>0.8</v>
      </c>
      <c r="F2" s="6" t="s">
        <v>37</v>
      </c>
    </row>
    <row r="3" spans="1:6" ht="66" x14ac:dyDescent="0.45">
      <c r="A3" s="3" t="s">
        <v>157</v>
      </c>
      <c r="B3" s="6" t="s">
        <v>166</v>
      </c>
      <c r="C3" s="3" t="s">
        <v>38</v>
      </c>
      <c r="D3" s="3" t="s">
        <v>42</v>
      </c>
      <c r="E3" s="1">
        <v>365</v>
      </c>
      <c r="F3" s="3" t="s">
        <v>46</v>
      </c>
    </row>
    <row r="4" spans="1:6" ht="49.5" x14ac:dyDescent="0.45">
      <c r="A4" s="3" t="s">
        <v>39</v>
      </c>
      <c r="B4" s="6" t="s">
        <v>40</v>
      </c>
      <c r="C4" s="3" t="s">
        <v>41</v>
      </c>
      <c r="D4" s="6" t="s">
        <v>43</v>
      </c>
      <c r="E4" s="1">
        <v>3</v>
      </c>
      <c r="F4" s="3" t="s">
        <v>147</v>
      </c>
    </row>
    <row r="5" spans="1:6" ht="66" x14ac:dyDescent="0.45">
      <c r="A5" s="3" t="s">
        <v>168</v>
      </c>
      <c r="B5" s="13" t="s">
        <v>169</v>
      </c>
      <c r="C5" s="3" t="s">
        <v>44</v>
      </c>
      <c r="D5" s="3" t="s">
        <v>45</v>
      </c>
      <c r="E5" s="1">
        <v>5</v>
      </c>
      <c r="F5" s="6" t="s">
        <v>170</v>
      </c>
    </row>
    <row r="6" spans="1:6" ht="82.5" x14ac:dyDescent="0.45">
      <c r="A6" s="3" t="s">
        <v>171</v>
      </c>
      <c r="B6" s="13" t="s">
        <v>172</v>
      </c>
      <c r="C6" s="3" t="s">
        <v>55</v>
      </c>
      <c r="D6" s="3" t="s">
        <v>45</v>
      </c>
      <c r="E6" s="1">
        <v>1</v>
      </c>
      <c r="F6" s="3" t="s">
        <v>47</v>
      </c>
    </row>
    <row r="7" spans="1:6" ht="49.5" x14ac:dyDescent="0.45">
      <c r="A7" s="14" t="s">
        <v>158</v>
      </c>
      <c r="B7" s="6" t="s">
        <v>173</v>
      </c>
      <c r="C7" s="4" t="s">
        <v>52</v>
      </c>
      <c r="D7" s="12" t="s">
        <v>17</v>
      </c>
      <c r="E7" s="12">
        <f>MIN(E4*E5*E6,'Baseline Survey'!D6*'Baseline Survey'!D4)</f>
        <v>15</v>
      </c>
      <c r="F7" s="3" t="s">
        <v>72</v>
      </c>
    </row>
    <row r="8" spans="1:6" ht="66" x14ac:dyDescent="0.45">
      <c r="A8" s="18" t="s">
        <v>58</v>
      </c>
      <c r="B8" s="13" t="s">
        <v>174</v>
      </c>
      <c r="C8" s="19" t="s">
        <v>0</v>
      </c>
      <c r="D8" s="19" t="s">
        <v>36</v>
      </c>
      <c r="E8" s="5">
        <v>0</v>
      </c>
      <c r="F8" s="19" t="s">
        <v>47</v>
      </c>
    </row>
    <row r="9" spans="1:6" ht="33" x14ac:dyDescent="0.45">
      <c r="A9" s="18" t="s">
        <v>62</v>
      </c>
      <c r="B9" s="13" t="s">
        <v>175</v>
      </c>
      <c r="C9" s="19" t="s">
        <v>0</v>
      </c>
      <c r="D9" s="19" t="s">
        <v>61</v>
      </c>
      <c r="E9" s="5">
        <v>1</v>
      </c>
      <c r="F9" s="19" t="s">
        <v>47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6F445-875F-4143-8DCE-F6CB1112C786}">
  <dimension ref="A1:E15"/>
  <sheetViews>
    <sheetView topLeftCell="A7" workbookViewId="0">
      <selection activeCell="B26" sqref="B26"/>
    </sheetView>
  </sheetViews>
  <sheetFormatPr defaultRowHeight="16.5" x14ac:dyDescent="0.45"/>
  <cols>
    <col min="1" max="1" width="19.765625" customWidth="1"/>
    <col min="2" max="2" width="60.3046875" customWidth="1"/>
    <col min="4" max="4" width="11.07421875" customWidth="1"/>
    <col min="5" max="5" width="85.53515625" customWidth="1"/>
  </cols>
  <sheetData>
    <row r="1" spans="1:5" x14ac:dyDescent="0.4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</row>
    <row r="2" spans="1:5" x14ac:dyDescent="0.45">
      <c r="A2" s="77" t="s">
        <v>8</v>
      </c>
      <c r="B2" s="77"/>
      <c r="C2" s="3" t="s">
        <v>141</v>
      </c>
      <c r="D2" s="3">
        <v>0.3</v>
      </c>
      <c r="E2" s="98" t="s">
        <v>9</v>
      </c>
    </row>
    <row r="3" spans="1:5" x14ac:dyDescent="0.45">
      <c r="A3" s="77" t="s">
        <v>10</v>
      </c>
      <c r="B3" s="77"/>
      <c r="C3" s="3" t="s">
        <v>142</v>
      </c>
      <c r="D3" s="3">
        <v>4.0000000000000001E-3</v>
      </c>
      <c r="E3" s="99"/>
    </row>
    <row r="4" spans="1:5" x14ac:dyDescent="0.45">
      <c r="A4" s="77" t="s">
        <v>11</v>
      </c>
      <c r="B4" s="77"/>
      <c r="C4" s="3" t="s">
        <v>141</v>
      </c>
      <c r="D4" s="3">
        <v>0.2</v>
      </c>
      <c r="E4" s="99"/>
    </row>
    <row r="5" spans="1:5" x14ac:dyDescent="0.45">
      <c r="A5" s="77" t="s">
        <v>12</v>
      </c>
      <c r="B5" s="77"/>
      <c r="C5" s="3" t="s">
        <v>142</v>
      </c>
      <c r="D5" s="3">
        <v>1E-3</v>
      </c>
      <c r="E5" s="99"/>
    </row>
    <row r="6" spans="1:5" x14ac:dyDescent="0.45">
      <c r="A6" s="77" t="s">
        <v>155</v>
      </c>
      <c r="B6" s="77"/>
      <c r="C6" s="3" t="s">
        <v>141</v>
      </c>
      <c r="D6" s="3">
        <v>5.0000000000000001E-3</v>
      </c>
      <c r="E6" s="99"/>
    </row>
    <row r="7" spans="1:5" x14ac:dyDescent="0.45">
      <c r="A7" s="77" t="s">
        <v>156</v>
      </c>
      <c r="B7" s="77"/>
      <c r="C7" s="3" t="s">
        <v>142</v>
      </c>
      <c r="D7" s="3">
        <v>1E-4</v>
      </c>
      <c r="E7" s="100"/>
    </row>
    <row r="8" spans="1:5" x14ac:dyDescent="0.45">
      <c r="A8" s="77" t="s">
        <v>13</v>
      </c>
      <c r="B8" s="77"/>
      <c r="C8" s="3"/>
      <c r="D8" s="3">
        <v>28</v>
      </c>
      <c r="E8" s="84" t="s">
        <v>14</v>
      </c>
    </row>
    <row r="9" spans="1:5" x14ac:dyDescent="0.45">
      <c r="A9" s="77" t="s">
        <v>15</v>
      </c>
      <c r="B9" s="77"/>
      <c r="C9" s="3"/>
      <c r="D9" s="3">
        <v>265</v>
      </c>
      <c r="E9" s="84"/>
    </row>
    <row r="10" spans="1:5" x14ac:dyDescent="0.45">
      <c r="A10" s="3" t="s">
        <v>16</v>
      </c>
      <c r="B10" s="3" t="s">
        <v>123</v>
      </c>
      <c r="C10" s="3" t="s">
        <v>32</v>
      </c>
      <c r="D10" s="9">
        <f>D2*D8+D3*D9</f>
        <v>9.4600000000000009</v>
      </c>
      <c r="E10" s="3" t="s">
        <v>17</v>
      </c>
    </row>
    <row r="11" spans="1:5" x14ac:dyDescent="0.45">
      <c r="A11" s="3" t="s">
        <v>18</v>
      </c>
      <c r="B11" s="3" t="s">
        <v>124</v>
      </c>
      <c r="C11" s="3" t="s">
        <v>32</v>
      </c>
      <c r="D11" s="3">
        <v>44.83</v>
      </c>
      <c r="E11" s="60" t="s">
        <v>164</v>
      </c>
    </row>
    <row r="12" spans="1:5" x14ac:dyDescent="0.45">
      <c r="A12" s="3" t="s">
        <v>153</v>
      </c>
      <c r="B12" s="3" t="s">
        <v>154</v>
      </c>
      <c r="C12" s="3" t="s">
        <v>32</v>
      </c>
      <c r="D12" s="3">
        <f>D6*D8+D7*D9</f>
        <v>0.16650000000000001</v>
      </c>
      <c r="E12" s="3" t="s">
        <v>17</v>
      </c>
    </row>
    <row r="13" spans="1:5" x14ac:dyDescent="0.45">
      <c r="A13" s="3" t="s">
        <v>19</v>
      </c>
      <c r="B13" s="3" t="s">
        <v>125</v>
      </c>
      <c r="C13" s="3" t="s">
        <v>140</v>
      </c>
      <c r="D13" s="3">
        <v>112</v>
      </c>
      <c r="E13" s="60" t="s">
        <v>20</v>
      </c>
    </row>
    <row r="14" spans="1:5" x14ac:dyDescent="0.45">
      <c r="A14" s="3" t="s">
        <v>21</v>
      </c>
      <c r="B14" s="3" t="s">
        <v>126</v>
      </c>
      <c r="C14" s="3" t="s">
        <v>140</v>
      </c>
      <c r="D14" s="3">
        <v>165.22</v>
      </c>
      <c r="E14" s="60" t="s">
        <v>164</v>
      </c>
    </row>
    <row r="15" spans="1:5" x14ac:dyDescent="0.45">
      <c r="A15" s="19" t="s">
        <v>127</v>
      </c>
      <c r="B15" s="3" t="s">
        <v>128</v>
      </c>
      <c r="C15" s="3" t="s">
        <v>140</v>
      </c>
      <c r="D15" s="3">
        <v>63.1</v>
      </c>
      <c r="E15" s="60" t="s">
        <v>20</v>
      </c>
    </row>
  </sheetData>
  <mergeCells count="10">
    <mergeCell ref="A8:B8"/>
    <mergeCell ref="E8:E9"/>
    <mergeCell ref="A9:B9"/>
    <mergeCell ref="A2:B2"/>
    <mergeCell ref="A3:B3"/>
    <mergeCell ref="A4:B4"/>
    <mergeCell ref="A5:B5"/>
    <mergeCell ref="A6:B6"/>
    <mergeCell ref="A7:B7"/>
    <mergeCell ref="E2:E7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38F17-0423-4496-882D-E46041476B81}">
  <dimension ref="A1:L45"/>
  <sheetViews>
    <sheetView topLeftCell="A31" zoomScaleNormal="100" workbookViewId="0">
      <selection activeCell="D3" sqref="D3:H3"/>
    </sheetView>
  </sheetViews>
  <sheetFormatPr defaultRowHeight="16.5" x14ac:dyDescent="0.45"/>
  <cols>
    <col min="1" max="1" width="10" customWidth="1"/>
    <col min="2" max="2" width="46.23046875" customWidth="1"/>
    <col min="3" max="3" width="16.765625" customWidth="1"/>
    <col min="4" max="8" width="15.3046875" customWidth="1"/>
    <col min="9" max="9" width="53.3046875" customWidth="1"/>
  </cols>
  <sheetData>
    <row r="1" spans="1:12" x14ac:dyDescent="0.45">
      <c r="A1" s="7" t="s">
        <v>3</v>
      </c>
      <c r="B1" s="7" t="s">
        <v>4</v>
      </c>
      <c r="C1" s="7" t="s">
        <v>5</v>
      </c>
      <c r="D1" s="7" t="s">
        <v>103</v>
      </c>
      <c r="E1" s="7" t="s">
        <v>99</v>
      </c>
      <c r="F1" s="7" t="s">
        <v>100</v>
      </c>
      <c r="G1" s="7" t="s">
        <v>131</v>
      </c>
      <c r="H1" s="7" t="s">
        <v>132</v>
      </c>
      <c r="I1" s="7" t="s">
        <v>7</v>
      </c>
    </row>
    <row r="2" spans="1:12" ht="33" x14ac:dyDescent="0.45">
      <c r="A2" s="14" t="s">
        <v>78</v>
      </c>
      <c r="B2" s="6" t="s">
        <v>30</v>
      </c>
      <c r="C2" s="3" t="s">
        <v>31</v>
      </c>
      <c r="D2" s="33">
        <f>'Efficiency of water boiling'!D18*('Efficiency of water boiling'!G4*('Emisson Factor'!D13*fNRB!D5+'Emisson Factor'!D10)+'Efficiency of water boiling'!G5*('Emisson Factor'!D14*fNRB!D5+'Emisson Factor'!D11)+'Efficiency of water boiling'!G6*('Emisson Factor'!D15+'Emisson Factor'!D12))/1000000000</f>
        <v>2.7133552831104079E-4</v>
      </c>
      <c r="E2" s="33">
        <f>'Efficiency of water boiling'!E18*('Efficiency of water boiling'!L4*('Emisson Factor'!D13*fNRB!D5+'Emisson Factor'!D10)+'Efficiency of water boiling'!L5*('Emisson Factor'!D14*fNRB!D5+'Emisson Factor'!D11)+'Efficiency of water boiling'!L6*('Emisson Factor'!D12+'Emisson Factor'!D15))/1000000000</f>
        <v>2.3740022740457024E-4</v>
      </c>
      <c r="F2" s="33">
        <f>'Efficiency of water boiling'!F18*('Efficiency of water boiling'!Q4*('Emisson Factor'!D13*fNRB!D5+'Emisson Factor'!D10)+'Efficiency of water boiling'!Q5*('Emisson Factor'!D14*fNRB!D5+'Emisson Factor'!D11)+'Efficiency of water boiling'!Q6*('Emisson Factor'!D12+'Emisson Factor'!D15))/1000000000</f>
        <v>2.8475250902997744E-4</v>
      </c>
      <c r="G2" s="33">
        <f>'Efficiency of water boiling'!G18*('Efficiency of water boiling'!V4*('Emisson Factor'!D13*fNRB!D5+'Emisson Factor'!D10)+'Efficiency of water boiling'!V5*('Emisson Factor'!D14*fNRB!D5+'Emisson Factor'!D11)+'Efficiency of water boiling'!V6*('Emisson Factor'!D15+'Emisson Factor'!D12))/1000000000</f>
        <v>2.3559251981521248E-4</v>
      </c>
      <c r="H2" s="33">
        <f>'Efficiency of water boiling'!H18*('Efficiency of water boiling'!AA4*('Emisson Factor'!D13*fNRB!D5+'Emisson Factor'!D10)+'Efficiency of water boiling'!AA5*('Emisson Factor'!D14*fNRB!D5+'Emisson Factor'!D11)+'Efficiency of water boiling'!AA6*('Emisson Factor'!D15+'Emisson Factor'!D12))/1000000000</f>
        <v>1.493365744831628E-4</v>
      </c>
      <c r="I2" s="3"/>
    </row>
    <row r="3" spans="1:12" ht="33" x14ac:dyDescent="0.45">
      <c r="A3" s="3" t="s">
        <v>59</v>
      </c>
      <c r="B3" s="6" t="s">
        <v>60</v>
      </c>
      <c r="C3" s="3" t="s">
        <v>53</v>
      </c>
      <c r="D3" s="80" t="s">
        <v>133</v>
      </c>
      <c r="E3" s="101"/>
      <c r="F3" s="101"/>
      <c r="G3" s="101"/>
      <c r="H3" s="81"/>
      <c r="I3" s="3"/>
    </row>
    <row r="4" spans="1:12" ht="42" customHeight="1" x14ac:dyDescent="0.45">
      <c r="A4" s="3" t="s">
        <v>65</v>
      </c>
      <c r="B4" s="6" t="s">
        <v>63</v>
      </c>
      <c r="C4" s="3" t="s">
        <v>64</v>
      </c>
      <c r="D4" s="80" t="s">
        <v>133</v>
      </c>
      <c r="E4" s="101"/>
      <c r="F4" s="101"/>
      <c r="G4" s="101"/>
      <c r="H4" s="81"/>
      <c r="I4" s="3"/>
    </row>
    <row r="5" spans="1:12" ht="42" customHeight="1" x14ac:dyDescent="0.45">
      <c r="A5" s="3" t="s">
        <v>176</v>
      </c>
      <c r="B5" s="6" t="s">
        <v>178</v>
      </c>
      <c r="C5" s="19" t="s">
        <v>180</v>
      </c>
      <c r="D5" s="80" t="s">
        <v>133</v>
      </c>
      <c r="E5" s="101"/>
      <c r="F5" s="101"/>
      <c r="G5" s="101"/>
      <c r="H5" s="81"/>
      <c r="I5" s="3" t="s">
        <v>68</v>
      </c>
    </row>
    <row r="6" spans="1:12" ht="42" customHeight="1" x14ac:dyDescent="0.45">
      <c r="A6" s="19" t="s">
        <v>73</v>
      </c>
      <c r="B6" s="6" t="s">
        <v>74</v>
      </c>
      <c r="C6" s="3" t="s">
        <v>64</v>
      </c>
      <c r="D6" s="103">
        <v>0</v>
      </c>
      <c r="E6" s="104"/>
      <c r="F6" s="104"/>
      <c r="G6" s="104"/>
      <c r="H6" s="105"/>
      <c r="I6" s="6" t="s">
        <v>75</v>
      </c>
    </row>
    <row r="7" spans="1:12" ht="16.5" customHeight="1" x14ac:dyDescent="0.45">
      <c r="A7" s="18" t="s">
        <v>177</v>
      </c>
      <c r="B7" s="20" t="s">
        <v>76</v>
      </c>
      <c r="C7" s="18" t="s">
        <v>64</v>
      </c>
      <c r="D7" s="103">
        <v>0</v>
      </c>
      <c r="E7" s="104"/>
      <c r="F7" s="104"/>
      <c r="G7" s="104"/>
      <c r="H7" s="105"/>
      <c r="I7" s="18" t="s">
        <v>77</v>
      </c>
    </row>
    <row r="8" spans="1:12" ht="16.5" customHeight="1" x14ac:dyDescent="0.45"/>
    <row r="9" spans="1:12" ht="16.5" customHeight="1" x14ac:dyDescent="0.45">
      <c r="A9" s="15" t="s">
        <v>135</v>
      </c>
      <c r="B9" s="36" t="s">
        <v>137</v>
      </c>
      <c r="C9" s="36" t="s">
        <v>181</v>
      </c>
      <c r="D9" s="36" t="s">
        <v>138</v>
      </c>
      <c r="E9" s="36" t="s">
        <v>139</v>
      </c>
      <c r="F9" s="36" t="s">
        <v>134</v>
      </c>
      <c r="G9" s="36" t="s">
        <v>181</v>
      </c>
      <c r="H9" s="36" t="s">
        <v>138</v>
      </c>
      <c r="I9" s="36" t="s">
        <v>139</v>
      </c>
      <c r="J9" s="27"/>
      <c r="K9" s="27"/>
      <c r="L9" s="27"/>
    </row>
    <row r="10" spans="1:12" ht="16.5" customHeight="1" x14ac:dyDescent="0.45">
      <c r="A10" s="102" t="s">
        <v>136</v>
      </c>
      <c r="B10" s="53">
        <v>80000</v>
      </c>
      <c r="C10" s="53">
        <f>B10/' Estimate Parameters'!$E$6</f>
        <v>80000</v>
      </c>
      <c r="D10" s="53">
        <f>C10*' Estimate Parameters'!$E$2*' Estimate Parameters'!$E$7*' Estimate Parameters'!$E$3</f>
        <v>350400000</v>
      </c>
      <c r="E10" s="53">
        <f>$D$2*(1-'Baseline Survey'!$D$15-' Estimate Parameters'!$E$8)*'Baseline and project Emissions'!D10*' Estimate Parameters'!$E$9</f>
        <v>76060.775296150969</v>
      </c>
      <c r="F10" s="37">
        <v>1</v>
      </c>
      <c r="G10" s="17">
        <f t="shared" ref="G10:I14" si="0">C10+C16+C22+C28+C34</f>
        <v>480000</v>
      </c>
      <c r="H10" s="17">
        <f>D10+D16+D22+D28+D34</f>
        <v>2102400000</v>
      </c>
      <c r="I10" s="17">
        <f>E10+E16+E22+E28+E34</f>
        <v>368069.25841401308</v>
      </c>
      <c r="J10" s="27"/>
      <c r="K10" s="27"/>
      <c r="L10" s="27"/>
    </row>
    <row r="11" spans="1:12" ht="16.5" customHeight="1" x14ac:dyDescent="0.45">
      <c r="A11" s="102"/>
      <c r="B11" s="53">
        <v>20000</v>
      </c>
      <c r="C11" s="53">
        <f>(C10+B11)/' Estimate Parameters'!$E$6</f>
        <v>100000</v>
      </c>
      <c r="D11" s="53">
        <f>C11*' Estimate Parameters'!$E$2*' Estimate Parameters'!$E$7*' Estimate Parameters'!$E$3</f>
        <v>438000000</v>
      </c>
      <c r="E11" s="53">
        <f>$D$2*(1-'Baseline Survey'!$D$15-' Estimate Parameters'!$E$8)*'Baseline and project Emissions'!D11*' Estimate Parameters'!$E$9</f>
        <v>95075.969120188704</v>
      </c>
      <c r="F11" s="37">
        <v>2</v>
      </c>
      <c r="G11" s="17">
        <f>C11+C17+C23+C29+C35</f>
        <v>602500</v>
      </c>
      <c r="H11" s="17">
        <f>D11+D17+D23+D29+D35</f>
        <v>2638950000</v>
      </c>
      <c r="I11" s="17">
        <f t="shared" si="0"/>
        <v>460883.01726223319</v>
      </c>
      <c r="J11" s="27"/>
      <c r="K11" s="27"/>
      <c r="L11" s="27"/>
    </row>
    <row r="12" spans="1:12" ht="16.5" customHeight="1" x14ac:dyDescent="0.45">
      <c r="A12" s="102"/>
      <c r="B12" s="53">
        <v>5000</v>
      </c>
      <c r="C12" s="53">
        <f>(C11+B12)/' Estimate Parameters'!$E$6</f>
        <v>105000</v>
      </c>
      <c r="D12" s="53">
        <f>C12*' Estimate Parameters'!$E$2*' Estimate Parameters'!$E$7*' Estimate Parameters'!$E$3</f>
        <v>459900000</v>
      </c>
      <c r="E12" s="53">
        <f>$D$2*(1-'Baseline Survey'!$D$15-' Estimate Parameters'!$E$8)*'Baseline and project Emissions'!D12*' Estimate Parameters'!$E$9</f>
        <v>99829.767576198137</v>
      </c>
      <c r="F12" s="37">
        <v>3</v>
      </c>
      <c r="G12" s="17">
        <f t="shared" si="0"/>
        <v>635000</v>
      </c>
      <c r="H12" s="17">
        <f t="shared" si="0"/>
        <v>2781300000</v>
      </c>
      <c r="I12" s="17">
        <f t="shared" si="0"/>
        <v>485278.03086419584</v>
      </c>
      <c r="J12" s="27"/>
      <c r="K12" s="27"/>
      <c r="L12" s="27"/>
    </row>
    <row r="13" spans="1:12" ht="16.5" customHeight="1" x14ac:dyDescent="0.45">
      <c r="A13" s="102"/>
      <c r="B13" s="53">
        <v>1250</v>
      </c>
      <c r="C13" s="53">
        <f>(C12+B13)/' Estimate Parameters'!$E$6</f>
        <v>106250</v>
      </c>
      <c r="D13" s="53">
        <f>C13*' Estimate Parameters'!$E$2*' Estimate Parameters'!$E$7*' Estimate Parameters'!$E$3</f>
        <v>465375000</v>
      </c>
      <c r="E13" s="53">
        <f>$D$2*(1-'Baseline Survey'!$D$15-' Estimate Parameters'!$E$8)*'Baseline and project Emissions'!D13*' Estimate Parameters'!$E$9</f>
        <v>101018.21719020049</v>
      </c>
      <c r="F13" s="37">
        <v>4</v>
      </c>
      <c r="G13" s="17">
        <f t="shared" si="0"/>
        <v>642500</v>
      </c>
      <c r="H13" s="17">
        <f t="shared" si="0"/>
        <v>2814150000</v>
      </c>
      <c r="I13" s="17">
        <f t="shared" si="0"/>
        <v>491050.2122321229</v>
      </c>
      <c r="J13" s="27"/>
      <c r="K13" s="27"/>
      <c r="L13" s="27"/>
    </row>
    <row r="14" spans="1:12" ht="16.5" customHeight="1" x14ac:dyDescent="0.45">
      <c r="A14" s="102"/>
      <c r="B14" s="53">
        <v>450</v>
      </c>
      <c r="C14" s="53">
        <f>(C13+B14)/' Estimate Parameters'!$E$6</f>
        <v>106700</v>
      </c>
      <c r="D14" s="53">
        <f>C14*' Estimate Parameters'!$E$2*' Estimate Parameters'!$E$7*' Estimate Parameters'!$E$3</f>
        <v>467346000</v>
      </c>
      <c r="E14" s="53">
        <f>$D$2*(1-'Baseline Survey'!$D$15-' Estimate Parameters'!$E$8)*'Baseline and project Emissions'!D14*' Estimate Parameters'!$E$9</f>
        <v>101446.05905124135</v>
      </c>
      <c r="F14" s="37">
        <v>5</v>
      </c>
      <c r="G14" s="17">
        <f t="shared" si="0"/>
        <v>644850</v>
      </c>
      <c r="H14" s="17">
        <f t="shared" si="0"/>
        <v>2824443000</v>
      </c>
      <c r="I14" s="17">
        <f t="shared" si="0"/>
        <v>492912.90180572745</v>
      </c>
      <c r="J14" s="27"/>
      <c r="K14" s="27"/>
      <c r="L14" s="27"/>
    </row>
    <row r="15" spans="1:12" ht="16.5" customHeight="1" x14ac:dyDescent="0.45">
      <c r="A15" s="48" t="s">
        <v>148</v>
      </c>
      <c r="B15" s="54">
        <f>SUM(B10:B14)</f>
        <v>106700</v>
      </c>
      <c r="C15" s="54">
        <f>C14</f>
        <v>106700</v>
      </c>
      <c r="D15" s="54">
        <f>SUM(D10:D14)</f>
        <v>2181021000</v>
      </c>
      <c r="E15" s="54">
        <f>SUM(E10:E14)</f>
        <v>473430.78823397972</v>
      </c>
      <c r="F15" s="36" t="s">
        <v>122</v>
      </c>
      <c r="G15" s="17">
        <f>G14</f>
        <v>644850</v>
      </c>
      <c r="H15" s="17">
        <f>H14</f>
        <v>2824443000</v>
      </c>
      <c r="I15" s="17">
        <f>ROUNDDOWN(SUM(I10:I14),0)</f>
        <v>2298193</v>
      </c>
      <c r="J15" s="27"/>
      <c r="K15" s="27"/>
      <c r="L15" s="27"/>
    </row>
    <row r="16" spans="1:12" ht="16.5" customHeight="1" x14ac:dyDescent="0.45">
      <c r="A16" s="106" t="s">
        <v>129</v>
      </c>
      <c r="B16" s="53">
        <f>75000</f>
        <v>75000</v>
      </c>
      <c r="C16" s="53">
        <f>B16/' Estimate Parameters'!$E$6</f>
        <v>75000</v>
      </c>
      <c r="D16" s="53">
        <f>C16*' Estimate Parameters'!$E$2*' Estimate Parameters'!$E$7*' Estimate Parameters'!$E$3</f>
        <v>328500000</v>
      </c>
      <c r="E16" s="53">
        <f>$E$2*(1-'Baseline Survey'!$D$15-' Estimate Parameters'!$E$8)*'Baseline and project Emissions'!D16*' Estimate Parameters'!$E$9</f>
        <v>62388.779761921061</v>
      </c>
      <c r="F16" s="36" t="s">
        <v>121</v>
      </c>
      <c r="G16" s="17">
        <f>G15/5</f>
        <v>128970</v>
      </c>
      <c r="H16" s="17">
        <f>H15/5</f>
        <v>564888600</v>
      </c>
      <c r="I16" s="17">
        <f>ROUNDDOWN(AVERAGE(I10:I14),0)</f>
        <v>459638</v>
      </c>
      <c r="J16" s="27"/>
      <c r="K16" s="27"/>
      <c r="L16" s="27"/>
    </row>
    <row r="17" spans="1:12" ht="16.5" customHeight="1" x14ac:dyDescent="0.45">
      <c r="A17" s="107"/>
      <c r="B17" s="53">
        <v>18000</v>
      </c>
      <c r="C17" s="53">
        <f>(C16+B17)/' Estimate Parameters'!$E$6</f>
        <v>93000</v>
      </c>
      <c r="D17" s="53">
        <f>C17*' Estimate Parameters'!$E$2*' Estimate Parameters'!$E$7*' Estimate Parameters'!$E$3</f>
        <v>407340000</v>
      </c>
      <c r="E17" s="53">
        <f>$E$2*(1-'Baseline Survey'!$D$15-' Estimate Parameters'!$E$8)*'Baseline and project Emissions'!D17*' Estimate Parameters'!$E$9</f>
        <v>77362.086904782118</v>
      </c>
      <c r="F17" s="34"/>
      <c r="G17" s="27"/>
      <c r="H17" s="27"/>
      <c r="I17" s="27"/>
      <c r="J17" s="27"/>
      <c r="K17" s="27"/>
      <c r="L17" s="27"/>
    </row>
    <row r="18" spans="1:12" ht="16.5" customHeight="1" x14ac:dyDescent="0.45">
      <c r="A18" s="107"/>
      <c r="B18" s="53">
        <v>4500</v>
      </c>
      <c r="C18" s="53">
        <f>(C17+B18)/' Estimate Parameters'!$E$6</f>
        <v>97500</v>
      </c>
      <c r="D18" s="53">
        <f>C18*' Estimate Parameters'!$E$2*' Estimate Parameters'!$E$7*' Estimate Parameters'!$E$3</f>
        <v>427050000</v>
      </c>
      <c r="E18" s="53">
        <f>$E$2*(1-'Baseline Survey'!$D$15-' Estimate Parameters'!$E$8)*'Baseline and project Emissions'!D18*' Estimate Parameters'!$E$9</f>
        <v>81105.413690497386</v>
      </c>
      <c r="F18" s="35"/>
      <c r="G18" s="35"/>
      <c r="I18" s="38"/>
      <c r="J18" s="27"/>
      <c r="K18" s="27"/>
      <c r="L18" s="27"/>
    </row>
    <row r="19" spans="1:12" ht="16.5" customHeight="1" x14ac:dyDescent="0.45">
      <c r="A19" s="107"/>
      <c r="B19" s="55">
        <v>1200</v>
      </c>
      <c r="C19" s="53">
        <f>(C18+B19)/' Estimate Parameters'!$E$6</f>
        <v>98700</v>
      </c>
      <c r="D19" s="53">
        <f>C19*' Estimate Parameters'!$E$2*' Estimate Parameters'!$E$7*' Estimate Parameters'!$E$3</f>
        <v>432306000</v>
      </c>
      <c r="E19" s="53">
        <f>$E$2*(1-'Baseline Survey'!$D$15-' Estimate Parameters'!$E$8)*'Baseline and project Emissions'!D19*' Estimate Parameters'!$E$9</f>
        <v>82103.63416668812</v>
      </c>
      <c r="F19" s="27"/>
      <c r="I19" s="27"/>
      <c r="J19" s="35"/>
      <c r="K19" s="35"/>
      <c r="L19" s="27"/>
    </row>
    <row r="20" spans="1:12" ht="16.5" customHeight="1" x14ac:dyDescent="0.45">
      <c r="A20" s="108"/>
      <c r="B20" s="55">
        <v>400</v>
      </c>
      <c r="C20" s="53">
        <f>(C19+B20)/' Estimate Parameters'!$E$6</f>
        <v>99100</v>
      </c>
      <c r="D20" s="53">
        <f>C20*' Estimate Parameters'!$E$2*' Estimate Parameters'!$E$7*' Estimate Parameters'!$E$3</f>
        <v>434058000</v>
      </c>
      <c r="E20" s="53">
        <f>$E$2*(1-'Baseline Survey'!$D$15-' Estimate Parameters'!$E$8)*'Baseline and project Emissions'!D20*' Estimate Parameters'!$E$9</f>
        <v>82436.374325418365</v>
      </c>
      <c r="F20" s="27"/>
      <c r="G20" s="27"/>
      <c r="H20" s="39"/>
      <c r="I20" s="27"/>
      <c r="J20" s="27"/>
      <c r="K20" s="27"/>
      <c r="L20" s="27"/>
    </row>
    <row r="21" spans="1:12" ht="16.5" customHeight="1" x14ac:dyDescent="0.45">
      <c r="A21" s="49" t="s">
        <v>148</v>
      </c>
      <c r="B21" s="56">
        <f>SUM(B16:B20)</f>
        <v>99100</v>
      </c>
      <c r="C21" s="56">
        <f>C20</f>
        <v>99100</v>
      </c>
      <c r="D21" s="56">
        <f t="shared" ref="D21" si="1">SUM(D16:D20)</f>
        <v>2029254000</v>
      </c>
      <c r="E21" s="54">
        <f>SUM(E16:E20)</f>
        <v>385396.28884930711</v>
      </c>
      <c r="F21" s="27"/>
      <c r="G21" s="27"/>
      <c r="H21" s="39"/>
      <c r="I21" s="27"/>
      <c r="J21" s="27"/>
      <c r="K21" s="27"/>
      <c r="L21" s="27"/>
    </row>
    <row r="22" spans="1:12" ht="16.5" customHeight="1" x14ac:dyDescent="0.45">
      <c r="A22" s="102" t="s">
        <v>130</v>
      </c>
      <c r="B22" s="55">
        <f>65000</f>
        <v>65000</v>
      </c>
      <c r="C22" s="53">
        <f>B22/' Estimate Parameters'!$E$6</f>
        <v>65000</v>
      </c>
      <c r="D22" s="53">
        <f>C22*' Estimate Parameters'!$E$2*' Estimate Parameters'!$E$7*' Estimate Parameters'!$E$3</f>
        <v>284700000</v>
      </c>
      <c r="E22" s="53">
        <f>$F$2*(1-'Baseline Survey'!$D$15-' Estimate Parameters'!$E$8)*'Baseline and project Emissions'!D22*' Estimate Parameters'!$E$9</f>
        <v>64855.231456667672</v>
      </c>
      <c r="F22" s="27"/>
      <c r="G22" s="27"/>
      <c r="I22" s="27"/>
      <c r="J22" s="27"/>
      <c r="K22" s="27"/>
      <c r="L22" s="27"/>
    </row>
    <row r="23" spans="1:12" ht="16.5" customHeight="1" x14ac:dyDescent="0.45">
      <c r="A23" s="102"/>
      <c r="B23" s="55">
        <v>15500</v>
      </c>
      <c r="C23" s="53">
        <f>(C22+B23)/' Estimate Parameters'!$E$6</f>
        <v>80500</v>
      </c>
      <c r="D23" s="53">
        <f>C23*' Estimate Parameters'!$E$2*' Estimate Parameters'!$E$7*' Estimate Parameters'!$E$3</f>
        <v>352590000</v>
      </c>
      <c r="E23" s="53">
        <f>$F$2*(1-'Baseline Survey'!$D$15-' Estimate Parameters'!$E$8)*'Baseline and project Emissions'!D23*' Estimate Parameters'!$E$9</f>
        <v>80320.709727103807</v>
      </c>
      <c r="F23" s="27"/>
      <c r="G23" s="27"/>
      <c r="H23" s="39"/>
      <c r="I23" s="42"/>
      <c r="J23" s="27"/>
      <c r="K23" s="27"/>
      <c r="L23" s="27"/>
    </row>
    <row r="24" spans="1:12" ht="16.5" customHeight="1" x14ac:dyDescent="0.45">
      <c r="A24" s="102"/>
      <c r="B24" s="55">
        <v>4000</v>
      </c>
      <c r="C24" s="53">
        <f>(C23+B24)/' Estimate Parameters'!$E$6</f>
        <v>84500</v>
      </c>
      <c r="D24" s="53">
        <f>C24*' Estimate Parameters'!$E$2*' Estimate Parameters'!$E$7*' Estimate Parameters'!$E$3</f>
        <v>370110000</v>
      </c>
      <c r="E24" s="53">
        <f>$F$2*(1-'Baseline Survey'!$D$15-' Estimate Parameters'!$E$8)*'Baseline and project Emissions'!D24*' Estimate Parameters'!$E$9</f>
        <v>84311.800893667969</v>
      </c>
      <c r="F24" s="27"/>
      <c r="G24" s="27"/>
      <c r="H24" s="39"/>
      <c r="I24" s="27"/>
      <c r="J24" s="27"/>
      <c r="K24" s="27"/>
      <c r="L24" s="27"/>
    </row>
    <row r="25" spans="1:12" ht="16.5" customHeight="1" x14ac:dyDescent="0.45">
      <c r="A25" s="102"/>
      <c r="B25" s="55">
        <v>1000</v>
      </c>
      <c r="C25" s="53">
        <f>(C24+B25)/' Estimate Parameters'!$E$6</f>
        <v>85500</v>
      </c>
      <c r="D25" s="53">
        <f>C25*' Estimate Parameters'!$E$2*' Estimate Parameters'!$E$7*' Estimate Parameters'!$E$3</f>
        <v>374490000</v>
      </c>
      <c r="E25" s="53">
        <f>$F$2*(1-'Baseline Survey'!$D$15-' Estimate Parameters'!$E$8)*'Baseline and project Emissions'!D25*' Estimate Parameters'!$E$9</f>
        <v>85309.573685309006</v>
      </c>
      <c r="G25" s="27"/>
      <c r="H25" s="39"/>
      <c r="I25" s="27"/>
      <c r="J25" s="27"/>
      <c r="K25" s="27"/>
      <c r="L25" s="27"/>
    </row>
    <row r="26" spans="1:12" ht="16.5" customHeight="1" x14ac:dyDescent="0.45">
      <c r="A26" s="102"/>
      <c r="B26" s="55">
        <v>350</v>
      </c>
      <c r="C26" s="53">
        <f>(C25+B26)/' Estimate Parameters'!$E$6</f>
        <v>85850</v>
      </c>
      <c r="D26" s="53">
        <f>C26*' Estimate Parameters'!$E$2*' Estimate Parameters'!$E$7*' Estimate Parameters'!$E$3</f>
        <v>376023000</v>
      </c>
      <c r="E26" s="53">
        <f>$F$2*(1-'Baseline Survey'!$D$15-' Estimate Parameters'!$E$8)*'Baseline and project Emissions'!D26*' Estimate Parameters'!$E$9</f>
        <v>85658.794162383376</v>
      </c>
    </row>
    <row r="27" spans="1:12" ht="16.5" customHeight="1" x14ac:dyDescent="0.45">
      <c r="A27" s="47" t="s">
        <v>148</v>
      </c>
      <c r="B27" s="56">
        <f>SUM(B22:B26)</f>
        <v>85850</v>
      </c>
      <c r="C27" s="56">
        <f>C26</f>
        <v>85850</v>
      </c>
      <c r="D27" s="56">
        <f t="shared" ref="D27" si="2">SUM(D22:D26)</f>
        <v>1757913000</v>
      </c>
      <c r="E27" s="54">
        <f>SUM(E22:E26)</f>
        <v>400456.10992513184</v>
      </c>
    </row>
    <row r="28" spans="1:12" ht="16.5" customHeight="1" x14ac:dyDescent="0.45">
      <c r="A28" s="102" t="s">
        <v>149</v>
      </c>
      <c r="B28" s="55">
        <f>100000*0.95</f>
        <v>95000</v>
      </c>
      <c r="C28" s="53">
        <f>B28/' Estimate Parameters'!$E$6</f>
        <v>95000</v>
      </c>
      <c r="D28" s="53">
        <f>C28*' Estimate Parameters'!$E$2*' Estimate Parameters'!$E$7*' Estimate Parameters'!$E$3</f>
        <v>416100000</v>
      </c>
      <c r="E28" s="53">
        <f>$G$2*(1-'Baseline Survey'!$D$15-' Estimate Parameters'!$E$8)*'Baseline and project Emissions'!D28*' Estimate Parameters'!$E$9</f>
        <v>78424.037996087936</v>
      </c>
    </row>
    <row r="29" spans="1:12" ht="16.5" customHeight="1" x14ac:dyDescent="0.45">
      <c r="A29" s="102"/>
      <c r="B29" s="55">
        <v>24000</v>
      </c>
      <c r="C29" s="53">
        <f>(C28+B29)/' Estimate Parameters'!$E$6</f>
        <v>119000</v>
      </c>
      <c r="D29" s="53">
        <f>C29*' Estimate Parameters'!$E$2*' Estimate Parameters'!$E$7*' Estimate Parameters'!$E$3</f>
        <v>521220000</v>
      </c>
      <c r="E29" s="53">
        <f>$G$2*(1-'Baseline Survey'!$D$15-' Estimate Parameters'!$E$8)*'Baseline and project Emissions'!D29*' Estimate Parameters'!$E$9</f>
        <v>98236.426542468049</v>
      </c>
    </row>
    <row r="30" spans="1:12" ht="16.5" customHeight="1" x14ac:dyDescent="0.45">
      <c r="A30" s="102"/>
      <c r="B30" s="55">
        <v>6500</v>
      </c>
      <c r="C30" s="53">
        <f>(C29+B30)/' Estimate Parameters'!$E$6</f>
        <v>125500</v>
      </c>
      <c r="D30" s="53">
        <f>C30*' Estimate Parameters'!$E$2*' Estimate Parameters'!$E$7*' Estimate Parameters'!$E$3</f>
        <v>549690000</v>
      </c>
      <c r="E30" s="53">
        <f>$G$2*(1-'Baseline Survey'!$D$15-' Estimate Parameters'!$E$8)*'Baseline and project Emissions'!D30*' Estimate Parameters'!$E$9</f>
        <v>103602.28177377932</v>
      </c>
    </row>
    <row r="31" spans="1:12" ht="16.5" customHeight="1" x14ac:dyDescent="0.45">
      <c r="A31" s="102"/>
      <c r="B31" s="55">
        <v>1550</v>
      </c>
      <c r="C31" s="53">
        <f>(C30+B31)/' Estimate Parameters'!$E$6</f>
        <v>127050</v>
      </c>
      <c r="D31" s="53">
        <f>C31*' Estimate Parameters'!$E$2*' Estimate Parameters'!$E$7*' Estimate Parameters'!$E$3</f>
        <v>556479000</v>
      </c>
      <c r="E31" s="53">
        <f>$G$2*(1-'Baseline Survey'!$D$15-' Estimate Parameters'!$E$8)*'Baseline and project Emissions'!D31*' Estimate Parameters'!$E$9</f>
        <v>104881.83186739971</v>
      </c>
    </row>
    <row r="32" spans="1:12" ht="16.5" customHeight="1" x14ac:dyDescent="0.45">
      <c r="A32" s="102"/>
      <c r="B32" s="55">
        <v>500</v>
      </c>
      <c r="C32" s="53">
        <f>(C31+B32)/' Estimate Parameters'!$E$6</f>
        <v>127550</v>
      </c>
      <c r="D32" s="53">
        <f>C32*' Estimate Parameters'!$E$2*' Estimate Parameters'!$E$7*' Estimate Parameters'!$E$3</f>
        <v>558669000</v>
      </c>
      <c r="E32" s="53">
        <f>$G$2*(1-'Baseline Survey'!$D$15-' Estimate Parameters'!$E$8)*'Baseline and project Emissions'!D32*' Estimate Parameters'!$E$9</f>
        <v>105294.58996211596</v>
      </c>
    </row>
    <row r="33" spans="1:5" ht="16.5" customHeight="1" x14ac:dyDescent="0.45">
      <c r="A33" s="47" t="s">
        <v>148</v>
      </c>
      <c r="B33" s="56">
        <f>SUM(B28:B32)</f>
        <v>127550</v>
      </c>
      <c r="C33" s="56">
        <f>C32</f>
        <v>127550</v>
      </c>
      <c r="D33" s="56">
        <f t="shared" ref="D33:E33" si="3">SUM(D28:D32)</f>
        <v>2602158000</v>
      </c>
      <c r="E33" s="54">
        <f t="shared" si="3"/>
        <v>490439.16814185097</v>
      </c>
    </row>
    <row r="34" spans="1:5" ht="16.5" customHeight="1" x14ac:dyDescent="0.45">
      <c r="A34" s="102" t="s">
        <v>132</v>
      </c>
      <c r="B34" s="55">
        <v>165000</v>
      </c>
      <c r="C34" s="53">
        <f>B34/' Estimate Parameters'!$E$6</f>
        <v>165000</v>
      </c>
      <c r="D34" s="53">
        <f>C34*' Estimate Parameters'!$E$2*' Estimate Parameters'!$E$7*' Estimate Parameters'!$E$3</f>
        <v>722700000</v>
      </c>
      <c r="E34" s="53">
        <f>$H$2*(1-'Baseline Survey'!$D$15-' Estimate Parameters'!$E$8)*'Baseline and project Emissions'!D34*' Estimate Parameters'!$E$9</f>
        <v>86340.433903185418</v>
      </c>
    </row>
    <row r="35" spans="1:5" ht="16.5" customHeight="1" x14ac:dyDescent="0.45">
      <c r="A35" s="102"/>
      <c r="B35" s="55">
        <v>45000</v>
      </c>
      <c r="C35" s="53">
        <f>(C34+B35)/' Estimate Parameters'!$E$6</f>
        <v>210000</v>
      </c>
      <c r="D35" s="53">
        <f>C35*' Estimate Parameters'!$E$2*' Estimate Parameters'!$E$7*' Estimate Parameters'!$E$3</f>
        <v>919800000</v>
      </c>
      <c r="E35" s="53">
        <f>$H$2*(1-'Baseline Survey'!$D$15-' Estimate Parameters'!$E$8)*'Baseline and project Emissions'!D35*' Estimate Parameters'!$E$9</f>
        <v>109887.82496769053</v>
      </c>
    </row>
    <row r="36" spans="1:5" ht="16.5" customHeight="1" x14ac:dyDescent="0.45">
      <c r="A36" s="102"/>
      <c r="B36" s="55">
        <v>12500</v>
      </c>
      <c r="C36" s="53">
        <f>(C35+B36)/' Estimate Parameters'!$E$6</f>
        <v>222500</v>
      </c>
      <c r="D36" s="53">
        <f>C36*' Estimate Parameters'!$E$2*' Estimate Parameters'!$E$7*' Estimate Parameters'!$E$3</f>
        <v>974550000</v>
      </c>
      <c r="E36" s="53">
        <f>$H$2*(1-'Baseline Survey'!$D$15-' Estimate Parameters'!$E$8)*'Baseline and project Emissions'!D36*' Estimate Parameters'!$E$9</f>
        <v>116428.76693005305</v>
      </c>
    </row>
    <row r="37" spans="1:5" ht="16.5" customHeight="1" x14ac:dyDescent="0.45">
      <c r="A37" s="102"/>
      <c r="B37" s="55">
        <v>2500</v>
      </c>
      <c r="C37" s="53">
        <f>(C36+B37)/' Estimate Parameters'!$E$6</f>
        <v>225000</v>
      </c>
      <c r="D37" s="53">
        <f>C37*' Estimate Parameters'!$E$2*' Estimate Parameters'!$E$7*' Estimate Parameters'!$E$3</f>
        <v>985500000</v>
      </c>
      <c r="E37" s="53">
        <f>$H$2*(1-'Baseline Survey'!$D$15-' Estimate Parameters'!$E$8)*'Baseline and project Emissions'!D37*' Estimate Parameters'!$E$9</f>
        <v>117736.95532252557</v>
      </c>
    </row>
    <row r="38" spans="1:5" ht="16.5" customHeight="1" x14ac:dyDescent="0.45">
      <c r="A38" s="102"/>
      <c r="B38" s="55">
        <v>650</v>
      </c>
      <c r="C38" s="53">
        <f>(C37+B38)/' Estimate Parameters'!$E$6</f>
        <v>225650</v>
      </c>
      <c r="D38" s="53">
        <f>C38*' Estimate Parameters'!$E$2*' Estimate Parameters'!$E$7*' Estimate Parameters'!$E$3</f>
        <v>988347000</v>
      </c>
      <c r="E38" s="53">
        <f>$H$2*(1-'Baseline Survey'!$D$15-' Estimate Parameters'!$E$8)*'Baseline and project Emissions'!D38*' Estimate Parameters'!$E$9</f>
        <v>118077.08430456842</v>
      </c>
    </row>
    <row r="39" spans="1:5" ht="16.5" customHeight="1" x14ac:dyDescent="0.45">
      <c r="A39" s="47" t="s">
        <v>148</v>
      </c>
      <c r="B39" s="56">
        <f>SUM(B34:B38)</f>
        <v>225650</v>
      </c>
      <c r="C39" s="56">
        <f>C38</f>
        <v>225650</v>
      </c>
      <c r="D39" s="56">
        <f>SUM(D34:D38)</f>
        <v>4590897000</v>
      </c>
      <c r="E39" s="54">
        <f t="shared" ref="E39" si="4">SUM(E34:E38)</f>
        <v>548471.06542802299</v>
      </c>
    </row>
    <row r="41" spans="1:5" ht="36.75" customHeight="1" x14ac:dyDescent="0.45">
      <c r="A41" s="109" t="s">
        <v>84</v>
      </c>
      <c r="B41" s="110"/>
      <c r="C41" s="111"/>
      <c r="D41" s="3">
        <v>360.83</v>
      </c>
    </row>
    <row r="42" spans="1:5" ht="16.5" customHeight="1" x14ac:dyDescent="0.45">
      <c r="A42" s="80" t="s">
        <v>143</v>
      </c>
      <c r="B42" s="101"/>
      <c r="C42" s="81"/>
      <c r="D42" s="44">
        <f>'Efficiency of water boiling'!I17</f>
        <v>0.16084337349397593</v>
      </c>
    </row>
    <row r="43" spans="1:5" ht="16.5" customHeight="1" x14ac:dyDescent="0.45">
      <c r="A43" s="80" t="s">
        <v>86</v>
      </c>
      <c r="B43" s="101"/>
      <c r="C43" s="81"/>
      <c r="D43" s="61">
        <f>D41*H16/1000000/D42</f>
        <v>1267249.9283635952</v>
      </c>
    </row>
    <row r="44" spans="1:5" ht="16.5" customHeight="1" x14ac:dyDescent="0.45">
      <c r="A44" s="80" t="s">
        <v>85</v>
      </c>
      <c r="B44" s="101"/>
      <c r="C44" s="81"/>
      <c r="D44" s="22">
        <f>3/(3.6*1000)</f>
        <v>8.3333333333333339E-4</v>
      </c>
    </row>
    <row r="45" spans="1:5" ht="16.5" customHeight="1" x14ac:dyDescent="0.45">
      <c r="A45" s="80" t="s">
        <v>87</v>
      </c>
      <c r="B45" s="101"/>
      <c r="C45" s="81"/>
      <c r="D45" s="61">
        <f>D43*D44</f>
        <v>1056.0416069696628</v>
      </c>
    </row>
  </sheetData>
  <mergeCells count="15">
    <mergeCell ref="A43:C43"/>
    <mergeCell ref="A45:C45"/>
    <mergeCell ref="A44:C44"/>
    <mergeCell ref="A42:C42"/>
    <mergeCell ref="D3:H3"/>
    <mergeCell ref="D4:H4"/>
    <mergeCell ref="D5:H5"/>
    <mergeCell ref="A10:A14"/>
    <mergeCell ref="D6:H6"/>
    <mergeCell ref="D7:H7"/>
    <mergeCell ref="A16:A20"/>
    <mergeCell ref="A22:A26"/>
    <mergeCell ref="A28:A32"/>
    <mergeCell ref="A34:A38"/>
    <mergeCell ref="A41:C41"/>
  </mergeCells>
  <phoneticPr fontId="3" type="noConversion"/>
  <pageMargins left="0.7" right="0.7" top="0.75" bottom="0.75" header="0.3" footer="0.3"/>
  <pageSetup paperSize="9" orientation="portrait" r:id="rId1"/>
  <ignoredErrors>
    <ignoredError sqref="C11 C16 C22 C28 C34 D21 D27 D33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E6245-60F6-4C23-BCFF-D74B0D649B89}">
  <dimension ref="A1:E39"/>
  <sheetViews>
    <sheetView topLeftCell="A34" workbookViewId="0">
      <selection activeCell="F24" sqref="F24"/>
    </sheetView>
  </sheetViews>
  <sheetFormatPr defaultRowHeight="16.5" x14ac:dyDescent="0.45"/>
  <cols>
    <col min="1" max="1" width="22.84375" customWidth="1"/>
    <col min="2" max="2" width="27" customWidth="1"/>
    <col min="3" max="3" width="26.23046875" customWidth="1"/>
    <col min="4" max="4" width="15.3046875" customWidth="1"/>
    <col min="5" max="5" width="19.84375" customWidth="1"/>
  </cols>
  <sheetData>
    <row r="1" spans="1:5" x14ac:dyDescent="0.45">
      <c r="A1" s="112" t="s">
        <v>83</v>
      </c>
      <c r="B1" s="112"/>
      <c r="C1" s="112"/>
      <c r="D1" s="112"/>
      <c r="E1" s="112"/>
    </row>
    <row r="2" spans="1:5" ht="33" x14ac:dyDescent="0.45">
      <c r="A2" s="62" t="s">
        <v>54</v>
      </c>
      <c r="B2" s="16" t="s">
        <v>79</v>
      </c>
      <c r="C2" s="16" t="s">
        <v>80</v>
      </c>
      <c r="D2" s="16" t="s">
        <v>81</v>
      </c>
      <c r="E2" s="16" t="s">
        <v>82</v>
      </c>
    </row>
    <row r="3" spans="1:5" x14ac:dyDescent="0.45">
      <c r="A3" s="65">
        <v>1</v>
      </c>
      <c r="B3" s="64">
        <f>'Baseline and project Emissions'!I10</f>
        <v>368069.25841401308</v>
      </c>
      <c r="C3" s="17">
        <f>'Baseline and project Emissions'!$H$6</f>
        <v>0</v>
      </c>
      <c r="D3" s="17">
        <f>'Baseline and project Emissions'!$H$7</f>
        <v>0</v>
      </c>
      <c r="E3" s="17">
        <f>B3-C3-D3</f>
        <v>368069.25841401308</v>
      </c>
    </row>
    <row r="4" spans="1:5" x14ac:dyDescent="0.45">
      <c r="A4" s="65">
        <v>2</v>
      </c>
      <c r="B4" s="64">
        <f>'Baseline and project Emissions'!I11</f>
        <v>460883.01726223319</v>
      </c>
      <c r="C4" s="17">
        <f>'Baseline and project Emissions'!$H$6</f>
        <v>0</v>
      </c>
      <c r="D4" s="17">
        <f>'Baseline and project Emissions'!$H$7</f>
        <v>0</v>
      </c>
      <c r="E4" s="17">
        <f t="shared" ref="E4:E7" si="0">B4-C4-D4</f>
        <v>460883.01726223319</v>
      </c>
    </row>
    <row r="5" spans="1:5" x14ac:dyDescent="0.45">
      <c r="A5" s="65">
        <v>3</v>
      </c>
      <c r="B5" s="64">
        <f>'Baseline and project Emissions'!I12</f>
        <v>485278.03086419584</v>
      </c>
      <c r="C5" s="17">
        <f>'Baseline and project Emissions'!$H$6</f>
        <v>0</v>
      </c>
      <c r="D5" s="17">
        <f>'Baseline and project Emissions'!$H$7</f>
        <v>0</v>
      </c>
      <c r="E5" s="17">
        <f t="shared" si="0"/>
        <v>485278.03086419584</v>
      </c>
    </row>
    <row r="6" spans="1:5" x14ac:dyDescent="0.45">
      <c r="A6" s="65">
        <v>4</v>
      </c>
      <c r="B6" s="64">
        <f>'Baseline and project Emissions'!I13</f>
        <v>491050.2122321229</v>
      </c>
      <c r="C6" s="17">
        <f>'Baseline and project Emissions'!$H$6</f>
        <v>0</v>
      </c>
      <c r="D6" s="17">
        <f>'Baseline and project Emissions'!$H$7</f>
        <v>0</v>
      </c>
      <c r="E6" s="17">
        <f t="shared" si="0"/>
        <v>491050.2122321229</v>
      </c>
    </row>
    <row r="7" spans="1:5" x14ac:dyDescent="0.45">
      <c r="A7" s="65">
        <v>5</v>
      </c>
      <c r="B7" s="64">
        <f>'Baseline and project Emissions'!I14</f>
        <v>492912.90180572745</v>
      </c>
      <c r="C7" s="17">
        <f>'Baseline and project Emissions'!$H$6</f>
        <v>0</v>
      </c>
      <c r="D7" s="17">
        <f>'Baseline and project Emissions'!$H$7</f>
        <v>0</v>
      </c>
      <c r="E7" s="17">
        <f t="shared" si="0"/>
        <v>492912.90180572745</v>
      </c>
    </row>
    <row r="8" spans="1:5" x14ac:dyDescent="0.45">
      <c r="A8" s="75" t="s">
        <v>66</v>
      </c>
      <c r="B8" s="17">
        <f>SUM(B3:B7)</f>
        <v>2298193.4205782926</v>
      </c>
      <c r="C8" s="17">
        <f>SUM(C3:C7)</f>
        <v>0</v>
      </c>
      <c r="D8" s="17">
        <f>SUM(D3:D7)</f>
        <v>0</v>
      </c>
      <c r="E8" s="17">
        <f>ROUNDDOWN(SUM(E3:E7),0)</f>
        <v>2298193</v>
      </c>
    </row>
    <row r="9" spans="1:5" x14ac:dyDescent="0.45">
      <c r="A9" s="74" t="s">
        <v>67</v>
      </c>
      <c r="B9" s="17">
        <f>ROUNDDOWN(B8/5,0)</f>
        <v>459638</v>
      </c>
      <c r="C9" s="17">
        <f t="shared" ref="C9:D9" si="1">C8/5</f>
        <v>0</v>
      </c>
      <c r="D9" s="17">
        <f t="shared" si="1"/>
        <v>0</v>
      </c>
      <c r="E9" s="17">
        <f>ROUNDDOWN(E8/5,0)</f>
        <v>459638</v>
      </c>
    </row>
    <row r="11" spans="1:5" x14ac:dyDescent="0.45">
      <c r="A11" s="112" t="s">
        <v>185</v>
      </c>
      <c r="B11" s="112"/>
      <c r="E11" s="113"/>
    </row>
    <row r="12" spans="1:5" ht="49.5" x14ac:dyDescent="0.45">
      <c r="A12" s="63" t="s">
        <v>54</v>
      </c>
      <c r="B12" s="21" t="s">
        <v>182</v>
      </c>
      <c r="C12" s="21" t="s">
        <v>183</v>
      </c>
      <c r="E12" s="113"/>
    </row>
    <row r="13" spans="1:5" x14ac:dyDescent="0.45">
      <c r="A13" s="65">
        <v>1</v>
      </c>
      <c r="B13" s="17" t="s">
        <v>184</v>
      </c>
      <c r="C13" s="66">
        <v>1</v>
      </c>
    </row>
    <row r="14" spans="1:5" x14ac:dyDescent="0.45">
      <c r="A14" s="65">
        <v>2</v>
      </c>
      <c r="B14" s="17" t="s">
        <v>184</v>
      </c>
      <c r="C14" s="66">
        <v>1</v>
      </c>
      <c r="E14" s="113"/>
    </row>
    <row r="15" spans="1:5" x14ac:dyDescent="0.45">
      <c r="A15" s="65">
        <v>3</v>
      </c>
      <c r="B15" s="17" t="s">
        <v>184</v>
      </c>
      <c r="C15" s="66">
        <v>1</v>
      </c>
      <c r="E15" s="113"/>
    </row>
    <row r="16" spans="1:5" x14ac:dyDescent="0.45">
      <c r="A16" s="65">
        <v>4</v>
      </c>
      <c r="B16" s="17" t="s">
        <v>184</v>
      </c>
      <c r="C16" s="66">
        <v>1</v>
      </c>
    </row>
    <row r="17" spans="1:4" x14ac:dyDescent="0.45">
      <c r="A17" s="65">
        <v>5</v>
      </c>
      <c r="B17" s="17" t="s">
        <v>184</v>
      </c>
      <c r="C17" s="66">
        <v>1</v>
      </c>
    </row>
    <row r="18" spans="1:4" x14ac:dyDescent="0.45">
      <c r="A18" s="63" t="s">
        <v>66</v>
      </c>
      <c r="B18" s="17" t="s">
        <v>184</v>
      </c>
      <c r="C18" s="66">
        <v>1</v>
      </c>
    </row>
    <row r="19" spans="1:4" x14ac:dyDescent="0.45">
      <c r="A19" s="63" t="s">
        <v>67</v>
      </c>
      <c r="B19" s="17" t="s">
        <v>184</v>
      </c>
      <c r="C19" s="66">
        <v>1</v>
      </c>
    </row>
    <row r="21" spans="1:4" x14ac:dyDescent="0.45">
      <c r="A21" s="112" t="s">
        <v>152</v>
      </c>
      <c r="B21" s="112"/>
    </row>
    <row r="22" spans="1:4" ht="33" x14ac:dyDescent="0.45">
      <c r="A22" s="15" t="s">
        <v>54</v>
      </c>
      <c r="B22" s="21" t="s">
        <v>179</v>
      </c>
    </row>
    <row r="23" spans="1:4" x14ac:dyDescent="0.45">
      <c r="A23" s="65">
        <v>1</v>
      </c>
      <c r="B23" s="17">
        <f>'Baseline and project Emissions'!G10*'Baseline Survey'!$D$4*' Estimate Parameters'!$E$3*' Estimate Parameters'!$E$2*' Estimate Parameters'!$E$9</f>
        <v>553423841.58415842</v>
      </c>
    </row>
    <row r="24" spans="1:4" x14ac:dyDescent="0.45">
      <c r="A24" s="65">
        <v>2</v>
      </c>
      <c r="B24" s="17">
        <f>'Baseline and project Emissions'!G11*'Baseline Survey'!$D$4*' Estimate Parameters'!$E$3*' Estimate Parameters'!$E$2*' Estimate Parameters'!$E$9</f>
        <v>694662217.82178223</v>
      </c>
    </row>
    <row r="25" spans="1:4" x14ac:dyDescent="0.45">
      <c r="A25" s="65">
        <v>3</v>
      </c>
      <c r="B25" s="17">
        <f>'Baseline and project Emissions'!G12*'Baseline Survey'!$D$4*' Estimate Parameters'!$E$3*' Estimate Parameters'!$E$2*' Estimate Parameters'!$E$9</f>
        <v>732133623.76237631</v>
      </c>
    </row>
    <row r="26" spans="1:4" x14ac:dyDescent="0.45">
      <c r="A26" s="65">
        <v>4</v>
      </c>
      <c r="B26" s="17">
        <f>'Baseline and project Emissions'!G13*'Baseline Survey'!$D$4*' Estimate Parameters'!$E$3*' Estimate Parameters'!$E$2*' Estimate Parameters'!$E$9</f>
        <v>740780871.28712881</v>
      </c>
    </row>
    <row r="27" spans="1:4" x14ac:dyDescent="0.45">
      <c r="A27" s="65">
        <v>5</v>
      </c>
      <c r="B27" s="17">
        <f>'Baseline and project Emissions'!G14*'Baseline Survey'!$D$4*' Estimate Parameters'!$E$3*' Estimate Parameters'!$E$2*' Estimate Parameters'!$E$9</f>
        <v>743490342.17821789</v>
      </c>
      <c r="C27" s="114"/>
    </row>
    <row r="28" spans="1:4" x14ac:dyDescent="0.45">
      <c r="A28" s="15" t="s">
        <v>66</v>
      </c>
      <c r="B28" s="17">
        <f>ROUNDDOWN(SUM(B23:B27),0)</f>
        <v>3464490896</v>
      </c>
      <c r="D28" s="115"/>
    </row>
    <row r="29" spans="1:4" x14ac:dyDescent="0.45">
      <c r="A29" s="15" t="s">
        <v>67</v>
      </c>
      <c r="B29" s="17">
        <f>ROUNDDOWN(B28/5,0)</f>
        <v>692898179</v>
      </c>
      <c r="C29" s="114"/>
      <c r="D29" s="115"/>
    </row>
    <row r="31" spans="1:4" x14ac:dyDescent="0.45">
      <c r="A31" s="52" t="s">
        <v>150</v>
      </c>
    </row>
    <row r="32" spans="1:4" x14ac:dyDescent="0.45">
      <c r="A32" s="47" t="s">
        <v>54</v>
      </c>
      <c r="B32" s="7" t="s">
        <v>151</v>
      </c>
    </row>
    <row r="33" spans="1:2" x14ac:dyDescent="0.45">
      <c r="A33" s="65">
        <v>1</v>
      </c>
      <c r="B33" s="17">
        <f>'Baseline and project Emissions'!B10+'Baseline and project Emissions'!B16+'Baseline and project Emissions'!B22+'Baseline and project Emissions'!B28+'Baseline and project Emissions'!B34</f>
        <v>480000</v>
      </c>
    </row>
    <row r="34" spans="1:2" x14ac:dyDescent="0.45">
      <c r="A34" s="65">
        <v>2</v>
      </c>
      <c r="B34" s="17">
        <f>'Baseline and project Emissions'!B11+'Baseline and project Emissions'!B17+'Baseline and project Emissions'!B23+'Baseline and project Emissions'!B29+'Baseline and project Emissions'!B35</f>
        <v>122500</v>
      </c>
    </row>
    <row r="35" spans="1:2" x14ac:dyDescent="0.45">
      <c r="A35" s="65">
        <v>3</v>
      </c>
      <c r="B35" s="17">
        <f>'Baseline and project Emissions'!B12+'Baseline and project Emissions'!B18+'Baseline and project Emissions'!B24+'Baseline and project Emissions'!B30+'Baseline and project Emissions'!B36</f>
        <v>32500</v>
      </c>
    </row>
    <row r="36" spans="1:2" x14ac:dyDescent="0.45">
      <c r="A36" s="65">
        <v>4</v>
      </c>
      <c r="B36" s="17">
        <f>'Baseline and project Emissions'!B13+'Baseline and project Emissions'!B19+'Baseline and project Emissions'!B25+'Baseline and project Emissions'!B31+'Baseline and project Emissions'!B37</f>
        <v>7500</v>
      </c>
    </row>
    <row r="37" spans="1:2" x14ac:dyDescent="0.45">
      <c r="A37" s="65">
        <v>5</v>
      </c>
      <c r="B37" s="17">
        <f>'Baseline and project Emissions'!B14+'Baseline and project Emissions'!B20+'Baseline and project Emissions'!B26+'Baseline and project Emissions'!B32+'Baseline and project Emissions'!B38</f>
        <v>2350</v>
      </c>
    </row>
    <row r="38" spans="1:2" x14ac:dyDescent="0.45">
      <c r="A38" s="47" t="s">
        <v>66</v>
      </c>
      <c r="B38" s="17">
        <f>SUM(B33:B37)</f>
        <v>644850</v>
      </c>
    </row>
    <row r="39" spans="1:2" x14ac:dyDescent="0.45">
      <c r="A39" s="47" t="s">
        <v>67</v>
      </c>
      <c r="B39" s="17">
        <f>B38/5</f>
        <v>128970</v>
      </c>
    </row>
  </sheetData>
  <mergeCells count="3">
    <mergeCell ref="A1:E1"/>
    <mergeCell ref="A21:B21"/>
    <mergeCell ref="A11:B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命名范围</vt:lpstr>
      </vt:variant>
      <vt:variant>
        <vt:i4>1</vt:i4>
      </vt:variant>
    </vt:vector>
  </HeadingPairs>
  <TitlesOfParts>
    <vt:vector size="10" baseType="lpstr">
      <vt:lpstr>Cover Page</vt:lpstr>
      <vt:lpstr>fNRB</vt:lpstr>
      <vt:lpstr>Household Size</vt:lpstr>
      <vt:lpstr>Baseline Survey</vt:lpstr>
      <vt:lpstr>Efficiency of water boiling</vt:lpstr>
      <vt:lpstr> Estimate Parameters</vt:lpstr>
      <vt:lpstr>Emisson Factor</vt:lpstr>
      <vt:lpstr>Baseline and project Emissions</vt:lpstr>
      <vt:lpstr>SDG Outcomes</vt:lpstr>
      <vt:lpstr>'Cover Page'!_Hlk77771351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</dc:creator>
  <cp:lastModifiedBy>Joy Sun</cp:lastModifiedBy>
  <dcterms:created xsi:type="dcterms:W3CDTF">2021-01-07T03:51:41Z</dcterms:created>
  <dcterms:modified xsi:type="dcterms:W3CDTF">2021-12-03T05:33:10Z</dcterms:modified>
</cp:coreProperties>
</file>